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fileSharing readOnlyRecommended="1"/>
  <workbookPr defaultThemeVersion="166925"/>
  <mc:AlternateContent xmlns:mc="http://schemas.openxmlformats.org/markup-compatibility/2006">
    <mc:Choice Requires="x15">
      <x15ac:absPath xmlns:x15ac="http://schemas.microsoft.com/office/spreadsheetml/2010/11/ac" url="E:\School\ASG\"/>
    </mc:Choice>
  </mc:AlternateContent>
  <xr:revisionPtr revIDLastSave="0" documentId="13_ncr:1_{43FFC890-BC8F-4312-A12F-B20BC1E0C692}" xr6:coauthVersionLast="45" xr6:coauthVersionMax="45" xr10:uidLastSave="{00000000-0000-0000-0000-000000000000}"/>
  <bookViews>
    <workbookView xWindow="735" yWindow="690" windowWidth="19245" windowHeight="14490" tabRatio="681" xr2:uid="{A32BC358-7EEB-46D7-B361-0DE9DE53F4DC}"/>
  </bookViews>
  <sheets>
    <sheet name="FY2020 Executive Summary" sheetId="47" r:id="rId1"/>
    <sheet name="FY2020 Cash Flow" sheetId="48" r:id="rId2"/>
    <sheet name="FY2020 Monthly Overview" sheetId="49" r:id="rId3"/>
    <sheet name="FY2020 Monthly Detail" sheetId="46" r:id="rId4"/>
    <sheet name="FY2020 April Account" sheetId="66" r:id="rId5"/>
    <sheet name="FY2020 April Transactions" sheetId="65" r:id="rId6"/>
    <sheet name="FY2020 March Account" sheetId="63" r:id="rId7"/>
    <sheet name="FY2020 March Transactions" sheetId="64" r:id="rId8"/>
    <sheet name="FY2020 February Account" sheetId="61" r:id="rId9"/>
    <sheet name="FY2020 February Transactions" sheetId="60" r:id="rId10"/>
    <sheet name="FY2020 January Account" sheetId="59" r:id="rId11"/>
    <sheet name="FY2020 January Transactions" sheetId="58" r:id="rId12"/>
    <sheet name="FY2020 December Account" sheetId="57" r:id="rId13"/>
    <sheet name="FY2020 December Transactions" sheetId="56" r:id="rId14"/>
    <sheet name="FY2020 November Account" sheetId="55" r:id="rId15"/>
    <sheet name="FY2020 November Transactions" sheetId="54" r:id="rId16"/>
    <sheet name="FY2020 October Account" sheetId="53" r:id="rId17"/>
    <sheet name="FY2020 October Transactions" sheetId="52" r:id="rId18"/>
    <sheet name="FY2020 September Account" sheetId="51" r:id="rId19"/>
    <sheet name="FY2020 September Transactions" sheetId="50" r:id="rId20"/>
    <sheet name="FY2020 August Account" sheetId="41" r:id="rId21"/>
    <sheet name="FY2020 August Transactions" sheetId="2" r:id="rId22"/>
    <sheet name="FY2020 July Account" sheetId="3" r:id="rId23"/>
    <sheet name="FY2020 July Transactions" sheetId="1" r:id="rId24"/>
    <sheet name="FY2020 Operating Budget" sheetId="43" r:id="rId25"/>
    <sheet name="FY2019 June Transactions" sheetId="4" r:id="rId26"/>
    <sheet name="FY2019 May Transactions" sheetId="5" r:id="rId27"/>
    <sheet name="FY2019 April Transactions" sheetId="6" r:id="rId28"/>
    <sheet name="FY2019 March Transactions" sheetId="7" r:id="rId29"/>
    <sheet name="FY2019 February Transactions" sheetId="8" r:id="rId30"/>
    <sheet name="FY2019 January Transactions" sheetId="9" r:id="rId31"/>
    <sheet name="FY2019 December Transactions" sheetId="10" r:id="rId32"/>
    <sheet name="FY2019 November Transactions" sheetId="11" r:id="rId33"/>
    <sheet name="FY2019 October Transactions" sheetId="12" r:id="rId34"/>
    <sheet name="FY2019 September Transactions" sheetId="13" r:id="rId35"/>
    <sheet name="FY2019 August Transactions" sheetId="14" r:id="rId36"/>
    <sheet name="FY2019 July Account" sheetId="44" r:id="rId37"/>
    <sheet name="FY2019 July Transactions" sheetId="15" r:id="rId38"/>
    <sheet name="FY2019 Approved Budget" sheetId="45" r:id="rId39"/>
    <sheet name="FY2018 June Transactions" sheetId="16" r:id="rId40"/>
    <sheet name="FY2018 May Transactions" sheetId="17" r:id="rId41"/>
    <sheet name="FY2018 April Transactions" sheetId="18" r:id="rId42"/>
    <sheet name="FY2018 March Transactions" sheetId="19" r:id="rId43"/>
    <sheet name="FY2018 February Transactions" sheetId="20" r:id="rId44"/>
    <sheet name="FY2018 January Transactions" sheetId="21" r:id="rId45"/>
    <sheet name="FY2018 December Transactions" sheetId="22" r:id="rId46"/>
    <sheet name="FY2018 November Transactions" sheetId="23" r:id="rId47"/>
    <sheet name="FY2018 October Transactions" sheetId="24" r:id="rId48"/>
    <sheet name="FY2018 September Transactions" sheetId="25" r:id="rId49"/>
    <sheet name="FY2018 August Transactions" sheetId="26" r:id="rId50"/>
    <sheet name="FY2018 July Transactions" sheetId="27" r:id="rId51"/>
    <sheet name="FY2017 June Transactions" sheetId="28" r:id="rId52"/>
    <sheet name="FY2017 May Transactions" sheetId="29" r:id="rId53"/>
    <sheet name="FY2017 April Transactions" sheetId="30" r:id="rId54"/>
    <sheet name="FY2017 March Transactions" sheetId="31" r:id="rId55"/>
    <sheet name="FY2017 February Transactions" sheetId="32" r:id="rId56"/>
    <sheet name="FY2017 January Transactions" sheetId="33" r:id="rId57"/>
    <sheet name="FY2017 December Transactions" sheetId="34" r:id="rId58"/>
    <sheet name="FY2017 November Transactions" sheetId="35" r:id="rId59"/>
    <sheet name="FY2017 October Transactions" sheetId="36" r:id="rId60"/>
    <sheet name="FY2017 September Transactions" sheetId="37" r:id="rId61"/>
    <sheet name="FY2017 August Transactions" sheetId="38" r:id="rId62"/>
    <sheet name="FY2017 July Transactions" sheetId="39" r:id="rId63"/>
  </sheets>
  <definedNames>
    <definedName name="TraFY2020M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63" l="1"/>
  <c r="C11" i="46"/>
  <c r="M132" i="46"/>
  <c r="M130" i="46"/>
  <c r="M131" i="46" s="1"/>
  <c r="M128" i="46"/>
  <c r="M129" i="46" s="1"/>
  <c r="M126" i="46"/>
  <c r="M124" i="46"/>
  <c r="M123" i="46"/>
  <c r="M118" i="46"/>
  <c r="M116" i="46"/>
  <c r="M115" i="46"/>
  <c r="M114" i="46"/>
  <c r="M113" i="46"/>
  <c r="M110" i="46"/>
  <c r="M109" i="46"/>
  <c r="M106" i="46"/>
  <c r="M105" i="46"/>
  <c r="M104" i="46"/>
  <c r="M101" i="46"/>
  <c r="M100" i="46"/>
  <c r="M95" i="46"/>
  <c r="M93" i="46"/>
  <c r="M92" i="46"/>
  <c r="M91" i="46"/>
  <c r="M90" i="46"/>
  <c r="M87" i="46"/>
  <c r="M86" i="46"/>
  <c r="M85" i="46"/>
  <c r="M84" i="46"/>
  <c r="M79" i="46"/>
  <c r="M77" i="46"/>
  <c r="M76" i="46"/>
  <c r="M75" i="46"/>
  <c r="M74" i="46"/>
  <c r="M71" i="46"/>
  <c r="M70" i="46"/>
  <c r="M69" i="46"/>
  <c r="M64" i="46"/>
  <c r="M62" i="46"/>
  <c r="M61" i="46"/>
  <c r="M58" i="46"/>
  <c r="M57" i="46"/>
  <c r="M56" i="46"/>
  <c r="M55" i="46"/>
  <c r="M54" i="46"/>
  <c r="M53" i="46"/>
  <c r="M50" i="46"/>
  <c r="M49" i="46"/>
  <c r="M48" i="46"/>
  <c r="M47" i="46"/>
  <c r="M46" i="46"/>
  <c r="M45" i="46"/>
  <c r="M44" i="46"/>
  <c r="M43" i="46"/>
  <c r="M42" i="46"/>
  <c r="M41" i="46"/>
  <c r="M34" i="46"/>
  <c r="M32" i="46"/>
  <c r="M31" i="46"/>
  <c r="M30" i="46"/>
  <c r="M27" i="46"/>
  <c r="M26" i="46"/>
  <c r="M25" i="46"/>
  <c r="M24" i="46"/>
  <c r="M19" i="46"/>
  <c r="M17" i="46"/>
  <c r="M16" i="46"/>
  <c r="M15" i="46"/>
  <c r="M12" i="46"/>
  <c r="M11" i="46"/>
  <c r="M133" i="46"/>
  <c r="M134" i="46"/>
  <c r="E42" i="41" l="1"/>
  <c r="E41" i="41"/>
  <c r="E109" i="66" l="1"/>
  <c r="E115" i="66"/>
  <c r="E74" i="66"/>
  <c r="E77" i="66" s="1"/>
  <c r="D76" i="66"/>
  <c r="D75" i="66"/>
  <c r="D70" i="66"/>
  <c r="F70" i="66" s="1"/>
  <c r="D32" i="66"/>
  <c r="D31" i="66"/>
  <c r="D30" i="66"/>
  <c r="F30" i="66" s="1"/>
  <c r="D26" i="66"/>
  <c r="F26" i="66" s="1"/>
  <c r="D17" i="66"/>
  <c r="D16" i="66"/>
  <c r="F16" i="66" s="1"/>
  <c r="D15" i="66"/>
  <c r="E123" i="66"/>
  <c r="E124" i="66" s="1"/>
  <c r="E126" i="66" s="1"/>
  <c r="E114" i="66"/>
  <c r="E105" i="66"/>
  <c r="E104" i="66"/>
  <c r="E100" i="66"/>
  <c r="E101" i="66" s="1"/>
  <c r="E92" i="66"/>
  <c r="E91" i="66"/>
  <c r="E93" i="66" s="1"/>
  <c r="E90" i="66"/>
  <c r="E86" i="66"/>
  <c r="E85" i="66"/>
  <c r="E84" i="66"/>
  <c r="E69" i="66"/>
  <c r="E71" i="66" s="1"/>
  <c r="E61" i="66"/>
  <c r="E57" i="66"/>
  <c r="E56" i="66"/>
  <c r="E55" i="66"/>
  <c r="E54" i="66"/>
  <c r="E53" i="66"/>
  <c r="E49" i="66"/>
  <c r="E48" i="66"/>
  <c r="E47" i="66"/>
  <c r="E46" i="66"/>
  <c r="E45" i="66"/>
  <c r="E44" i="66"/>
  <c r="E43" i="66"/>
  <c r="E42" i="66"/>
  <c r="E41" i="66"/>
  <c r="E25" i="66"/>
  <c r="E24" i="66"/>
  <c r="F76" i="66"/>
  <c r="F75" i="66"/>
  <c r="E32" i="66"/>
  <c r="F32" i="66"/>
  <c r="F31" i="66"/>
  <c r="E15" i="66"/>
  <c r="E17" i="66" s="1"/>
  <c r="F17" i="66" s="1"/>
  <c r="E58" i="66" l="1"/>
  <c r="E87" i="66"/>
  <c r="E62" i="66"/>
  <c r="E106" i="66"/>
  <c r="E116" i="66"/>
  <c r="E50" i="66"/>
  <c r="E27" i="66"/>
  <c r="E95" i="66"/>
  <c r="E110" i="66"/>
  <c r="E79" i="66"/>
  <c r="E34" i="66"/>
  <c r="F15" i="66"/>
  <c r="E113" i="63"/>
  <c r="E141" i="64"/>
  <c r="E109" i="63" s="1"/>
  <c r="E84" i="63"/>
  <c r="D109" i="63"/>
  <c r="D110" i="63"/>
  <c r="E115" i="63"/>
  <c r="E114" i="63"/>
  <c r="E105" i="63"/>
  <c r="E104" i="63"/>
  <c r="E100" i="63"/>
  <c r="E92" i="63"/>
  <c r="E91" i="63"/>
  <c r="E90" i="63"/>
  <c r="E86" i="63"/>
  <c r="E85" i="63"/>
  <c r="F85" i="63" s="1"/>
  <c r="D85" i="66" s="1"/>
  <c r="F85" i="66" s="1"/>
  <c r="E61" i="63"/>
  <c r="E64" i="66" l="1"/>
  <c r="E118" i="66"/>
  <c r="E129" i="66"/>
  <c r="L84" i="46"/>
  <c r="E84" i="61"/>
  <c r="E100" i="61"/>
  <c r="K128" i="46"/>
  <c r="L115" i="46"/>
  <c r="L114" i="46"/>
  <c r="L109" i="46"/>
  <c r="L105" i="46"/>
  <c r="L100" i="46"/>
  <c r="L92" i="46"/>
  <c r="L91" i="46"/>
  <c r="L90" i="46"/>
  <c r="L76" i="46"/>
  <c r="L75" i="46"/>
  <c r="L32" i="46"/>
  <c r="L31" i="46"/>
  <c r="L30" i="46"/>
  <c r="L26" i="46"/>
  <c r="L17" i="46"/>
  <c r="L16" i="46"/>
  <c r="L15" i="46"/>
  <c r="D126" i="63"/>
  <c r="D124" i="63"/>
  <c r="D123" i="63"/>
  <c r="D116" i="63"/>
  <c r="D115" i="63"/>
  <c r="D114" i="63"/>
  <c r="D113" i="63"/>
  <c r="D106" i="63"/>
  <c r="D105" i="63"/>
  <c r="D104" i="63"/>
  <c r="D93" i="63"/>
  <c r="D92" i="63"/>
  <c r="D91" i="63"/>
  <c r="D90" i="63"/>
  <c r="D86" i="63"/>
  <c r="D85" i="63"/>
  <c r="D79" i="63"/>
  <c r="D77" i="63"/>
  <c r="D76" i="63"/>
  <c r="D75" i="63"/>
  <c r="D74" i="63"/>
  <c r="D71" i="63"/>
  <c r="D70" i="63"/>
  <c r="D69" i="63"/>
  <c r="D58" i="63"/>
  <c r="D57" i="63"/>
  <c r="D56" i="63"/>
  <c r="D55" i="63"/>
  <c r="D54" i="63"/>
  <c r="D53" i="63"/>
  <c r="D32" i="63"/>
  <c r="D31" i="63"/>
  <c r="D30" i="63"/>
  <c r="D27" i="63"/>
  <c r="D26" i="63"/>
  <c r="D25" i="63"/>
  <c r="D17" i="63"/>
  <c r="D16" i="63"/>
  <c r="D15" i="63"/>
  <c r="E130" i="66" l="1"/>
  <c r="E131" i="66" s="1"/>
  <c r="E11" i="66" s="1"/>
  <c r="E101" i="63"/>
  <c r="L101" i="46" s="1"/>
  <c r="F75" i="63"/>
  <c r="E123" i="63"/>
  <c r="L123" i="46" s="1"/>
  <c r="L104" i="46"/>
  <c r="L86" i="46"/>
  <c r="E74" i="63"/>
  <c r="E69" i="63"/>
  <c r="L69" i="46" s="1"/>
  <c r="E57" i="63"/>
  <c r="E56" i="63"/>
  <c r="E55" i="63"/>
  <c r="E54" i="63"/>
  <c r="E53" i="63"/>
  <c r="L53" i="46" s="1"/>
  <c r="E49" i="63"/>
  <c r="E48" i="63"/>
  <c r="E47" i="63"/>
  <c r="L47" i="46" s="1"/>
  <c r="E46" i="63"/>
  <c r="E45" i="63"/>
  <c r="E44" i="63"/>
  <c r="L44" i="46" s="1"/>
  <c r="E43" i="63"/>
  <c r="L43" i="46" s="1"/>
  <c r="E42" i="63"/>
  <c r="L42" i="46" s="1"/>
  <c r="E41" i="63"/>
  <c r="E25" i="63"/>
  <c r="L25" i="46" s="1"/>
  <c r="E24" i="63"/>
  <c r="L24" i="46" s="1"/>
  <c r="E124" i="63"/>
  <c r="F123" i="63"/>
  <c r="D123" i="66" s="1"/>
  <c r="F123" i="66" s="1"/>
  <c r="F115" i="63"/>
  <c r="D115" i="66" s="1"/>
  <c r="F115" i="66" s="1"/>
  <c r="F114" i="63"/>
  <c r="D114" i="66" s="1"/>
  <c r="F114" i="66" s="1"/>
  <c r="E110" i="63"/>
  <c r="L110" i="46" s="1"/>
  <c r="F109" i="63"/>
  <c r="D109" i="66" s="1"/>
  <c r="F109" i="66" s="1"/>
  <c r="F105" i="63"/>
  <c r="D105" i="66" s="1"/>
  <c r="F105" i="66" s="1"/>
  <c r="F104" i="63"/>
  <c r="D104" i="66" s="1"/>
  <c r="F104" i="66" s="1"/>
  <c r="E106" i="63"/>
  <c r="L106" i="46" s="1"/>
  <c r="E93" i="63"/>
  <c r="L93" i="46" s="1"/>
  <c r="F92" i="63"/>
  <c r="D92" i="66" s="1"/>
  <c r="F92" i="66" s="1"/>
  <c r="F91" i="63"/>
  <c r="D91" i="66" s="1"/>
  <c r="F91" i="66" s="1"/>
  <c r="F90" i="63"/>
  <c r="D90" i="66" s="1"/>
  <c r="F90" i="66" s="1"/>
  <c r="F76" i="63"/>
  <c r="E32" i="63"/>
  <c r="F32" i="63"/>
  <c r="F31" i="63"/>
  <c r="F30" i="63"/>
  <c r="F26" i="63"/>
  <c r="F16" i="63"/>
  <c r="G2" i="66" l="1"/>
  <c r="A2" i="66"/>
  <c r="A132" i="66"/>
  <c r="A1" i="66"/>
  <c r="E12" i="66"/>
  <c r="F69" i="63"/>
  <c r="D69" i="66" s="1"/>
  <c r="F69" i="66" s="1"/>
  <c r="F93" i="63"/>
  <c r="D93" i="66" s="1"/>
  <c r="F93" i="66" s="1"/>
  <c r="L85" i="46"/>
  <c r="E87" i="63"/>
  <c r="E95" i="63" s="1"/>
  <c r="F110" i="63"/>
  <c r="D110" i="66" s="1"/>
  <c r="F110" i="66" s="1"/>
  <c r="F54" i="63"/>
  <c r="D54" i="66" s="1"/>
  <c r="F54" i="66" s="1"/>
  <c r="L54" i="46"/>
  <c r="F55" i="63"/>
  <c r="D55" i="66" s="1"/>
  <c r="F55" i="66" s="1"/>
  <c r="L55" i="46"/>
  <c r="F56" i="63"/>
  <c r="D56" i="66" s="1"/>
  <c r="F56" i="66" s="1"/>
  <c r="L56" i="46"/>
  <c r="E126" i="63"/>
  <c r="L126" i="46" s="1"/>
  <c r="L124" i="46"/>
  <c r="F57" i="63"/>
  <c r="D57" i="66" s="1"/>
  <c r="F57" i="66" s="1"/>
  <c r="L57" i="46"/>
  <c r="E116" i="63"/>
  <c r="L116" i="46" s="1"/>
  <c r="L113" i="46"/>
  <c r="F74" i="63"/>
  <c r="D74" i="66" s="1"/>
  <c r="F74" i="66" s="1"/>
  <c r="L74" i="46"/>
  <c r="E71" i="63"/>
  <c r="L71" i="46" s="1"/>
  <c r="L41" i="46"/>
  <c r="L45" i="46"/>
  <c r="L46" i="46"/>
  <c r="L48" i="46"/>
  <c r="L49" i="46"/>
  <c r="L61" i="46"/>
  <c r="F113" i="63"/>
  <c r="D113" i="66" s="1"/>
  <c r="F113" i="66" s="1"/>
  <c r="F106" i="63"/>
  <c r="D106" i="66" s="1"/>
  <c r="F106" i="66" s="1"/>
  <c r="F25" i="63"/>
  <c r="D25" i="66" s="1"/>
  <c r="F25" i="66" s="1"/>
  <c r="F86" i="63"/>
  <c r="D86" i="66" s="1"/>
  <c r="F86" i="66" s="1"/>
  <c r="E27" i="63"/>
  <c r="E118" i="63"/>
  <c r="L118" i="46" s="1"/>
  <c r="F100" i="63"/>
  <c r="D100" i="66" s="1"/>
  <c r="F100" i="66" s="1"/>
  <c r="E15" i="63"/>
  <c r="F15" i="63" s="1"/>
  <c r="F53" i="63"/>
  <c r="D53" i="66" s="1"/>
  <c r="F53" i="66" s="1"/>
  <c r="E58" i="63"/>
  <c r="F24" i="63"/>
  <c r="D24" i="66" s="1"/>
  <c r="F24" i="66" s="1"/>
  <c r="F124" i="63"/>
  <c r="D124" i="66" s="1"/>
  <c r="F124" i="66" s="1"/>
  <c r="E77" i="63"/>
  <c r="E50" i="63"/>
  <c r="L50" i="46" s="1"/>
  <c r="E62" i="63"/>
  <c r="E17" i="63"/>
  <c r="F17" i="63" s="1"/>
  <c r="D126" i="61"/>
  <c r="D124" i="61"/>
  <c r="D123" i="61"/>
  <c r="D118" i="61"/>
  <c r="D116" i="61"/>
  <c r="D115" i="61"/>
  <c r="D114" i="61"/>
  <c r="F114" i="61" s="1"/>
  <c r="D113" i="61"/>
  <c r="D110" i="61"/>
  <c r="F110" i="61" s="1"/>
  <c r="D109" i="61"/>
  <c r="F109" i="61" s="1"/>
  <c r="D106" i="61"/>
  <c r="D105" i="61"/>
  <c r="D104" i="61"/>
  <c r="D101" i="61"/>
  <c r="D100" i="61"/>
  <c r="F100" i="61" s="1"/>
  <c r="D100" i="63" s="1"/>
  <c r="D95" i="61"/>
  <c r="D93" i="61"/>
  <c r="F93" i="61" s="1"/>
  <c r="D92" i="61"/>
  <c r="F92" i="61" s="1"/>
  <c r="D91" i="61"/>
  <c r="F91" i="61" s="1"/>
  <c r="D90" i="61"/>
  <c r="D87" i="61"/>
  <c r="D86" i="61"/>
  <c r="D85" i="61"/>
  <c r="F85" i="61" s="1"/>
  <c r="D84" i="61"/>
  <c r="D79" i="61"/>
  <c r="D77" i="61"/>
  <c r="D76" i="61"/>
  <c r="F76" i="61" s="1"/>
  <c r="D75" i="61"/>
  <c r="D74" i="61"/>
  <c r="D71" i="61"/>
  <c r="D70" i="61"/>
  <c r="D69" i="61"/>
  <c r="D58" i="61"/>
  <c r="D57" i="61"/>
  <c r="D56" i="61"/>
  <c r="D55" i="61"/>
  <c r="F55" i="61" s="1"/>
  <c r="D54" i="61"/>
  <c r="D53" i="61"/>
  <c r="F53" i="61" s="1"/>
  <c r="D32" i="61"/>
  <c r="D31" i="61"/>
  <c r="D30" i="61"/>
  <c r="D27" i="61"/>
  <c r="D26" i="61"/>
  <c r="F26" i="61" s="1"/>
  <c r="D25" i="61"/>
  <c r="D24" i="61"/>
  <c r="D17" i="61"/>
  <c r="D16" i="61"/>
  <c r="D15" i="61"/>
  <c r="D126" i="59"/>
  <c r="D124" i="59"/>
  <c r="D123" i="59"/>
  <c r="D118" i="59"/>
  <c r="D116" i="59"/>
  <c r="D115" i="59"/>
  <c r="D114" i="59"/>
  <c r="D113" i="59"/>
  <c r="D110" i="59"/>
  <c r="D109" i="59"/>
  <c r="D106" i="59"/>
  <c r="D105" i="59"/>
  <c r="D104" i="59"/>
  <c r="D101" i="59"/>
  <c r="D100" i="59"/>
  <c r="D95" i="59"/>
  <c r="D93" i="59"/>
  <c r="D92" i="59"/>
  <c r="D91" i="59"/>
  <c r="D90" i="59"/>
  <c r="D87" i="59"/>
  <c r="D86" i="59"/>
  <c r="D85" i="59"/>
  <c r="D84" i="59"/>
  <c r="D79" i="59"/>
  <c r="D77" i="59"/>
  <c r="D76" i="59"/>
  <c r="D75" i="59"/>
  <c r="D74" i="59"/>
  <c r="D71" i="59"/>
  <c r="D70" i="59"/>
  <c r="D69" i="59"/>
  <c r="D58" i="59"/>
  <c r="D57" i="59"/>
  <c r="D56" i="59"/>
  <c r="D55" i="59"/>
  <c r="D54" i="59"/>
  <c r="D53" i="59"/>
  <c r="D32" i="59"/>
  <c r="D31" i="59"/>
  <c r="D30" i="59"/>
  <c r="D27" i="59"/>
  <c r="D26" i="59"/>
  <c r="D25" i="59"/>
  <c r="D24" i="59"/>
  <c r="D17" i="59"/>
  <c r="D16" i="59"/>
  <c r="D15" i="59"/>
  <c r="K126" i="46"/>
  <c r="K124" i="46"/>
  <c r="K123" i="46"/>
  <c r="K116" i="46"/>
  <c r="K115" i="46"/>
  <c r="K114" i="46"/>
  <c r="K113" i="46"/>
  <c r="K110" i="46"/>
  <c r="K109" i="46"/>
  <c r="K106" i="46"/>
  <c r="K105" i="46"/>
  <c r="K104" i="46"/>
  <c r="K100" i="46"/>
  <c r="K93" i="46"/>
  <c r="K92" i="46"/>
  <c r="K91" i="46"/>
  <c r="K90" i="46"/>
  <c r="K86" i="46"/>
  <c r="K85" i="46"/>
  <c r="K84" i="46"/>
  <c r="K79" i="46"/>
  <c r="K77" i="46"/>
  <c r="K76" i="46"/>
  <c r="K75" i="46"/>
  <c r="K74" i="46"/>
  <c r="K71" i="46"/>
  <c r="K70" i="46"/>
  <c r="K69" i="46"/>
  <c r="K58" i="46"/>
  <c r="K57" i="46"/>
  <c r="K56" i="46"/>
  <c r="K55" i="46"/>
  <c r="K54" i="46"/>
  <c r="K53" i="46"/>
  <c r="K34" i="46"/>
  <c r="K32" i="46"/>
  <c r="K31" i="46"/>
  <c r="K30" i="46"/>
  <c r="K27" i="46"/>
  <c r="K26" i="46"/>
  <c r="K25" i="46"/>
  <c r="K24" i="46"/>
  <c r="K17" i="46"/>
  <c r="K16" i="46"/>
  <c r="K15" i="46"/>
  <c r="E45" i="61"/>
  <c r="E123" i="61"/>
  <c r="E104" i="61"/>
  <c r="E86" i="61"/>
  <c r="E87" i="61" s="1"/>
  <c r="K87" i="46" s="1"/>
  <c r="E85" i="61"/>
  <c r="E75" i="61"/>
  <c r="E74" i="61"/>
  <c r="E70" i="61"/>
  <c r="E69" i="61"/>
  <c r="E61" i="61"/>
  <c r="K61" i="46" s="1"/>
  <c r="E57" i="61"/>
  <c r="F57" i="61" s="1"/>
  <c r="E56" i="61"/>
  <c r="E55" i="61"/>
  <c r="E54" i="61"/>
  <c r="E53" i="61"/>
  <c r="E49" i="61"/>
  <c r="K49" i="46" s="1"/>
  <c r="E48" i="61"/>
  <c r="E47" i="61"/>
  <c r="E46" i="61"/>
  <c r="E44" i="61"/>
  <c r="K44" i="46" s="1"/>
  <c r="E43" i="61"/>
  <c r="K43" i="46" s="1"/>
  <c r="E42" i="61"/>
  <c r="K42" i="46" s="1"/>
  <c r="E41" i="61"/>
  <c r="K41" i="46" s="1"/>
  <c r="E25" i="61"/>
  <c r="E27" i="61" s="1"/>
  <c r="E34" i="61" s="1"/>
  <c r="E24" i="61"/>
  <c r="E124" i="61"/>
  <c r="E126" i="61" s="1"/>
  <c r="E116" i="61"/>
  <c r="F116" i="61"/>
  <c r="F115" i="61"/>
  <c r="F113" i="61"/>
  <c r="E110" i="61"/>
  <c r="F105" i="61"/>
  <c r="F104" i="61"/>
  <c r="E101" i="61"/>
  <c r="F101" i="61" s="1"/>
  <c r="D101" i="63" s="1"/>
  <c r="F101" i="63" s="1"/>
  <c r="D101" i="66" s="1"/>
  <c r="F101" i="66" s="1"/>
  <c r="E93" i="61"/>
  <c r="F90" i="61"/>
  <c r="F84" i="61"/>
  <c r="D84" i="63" s="1"/>
  <c r="F84" i="63" s="1"/>
  <c r="D84" i="66" s="1"/>
  <c r="F84" i="66" s="1"/>
  <c r="F75" i="61"/>
  <c r="F74" i="61"/>
  <c r="E77" i="61"/>
  <c r="F69" i="61"/>
  <c r="F56" i="61"/>
  <c r="F54" i="61"/>
  <c r="E32" i="61"/>
  <c r="F32" i="61" s="1"/>
  <c r="F31" i="61"/>
  <c r="F30" i="61"/>
  <c r="F16" i="61"/>
  <c r="E19" i="66" l="1"/>
  <c r="F116" i="63"/>
  <c r="D116" i="66" s="1"/>
  <c r="F116" i="66" s="1"/>
  <c r="F77" i="63"/>
  <c r="D77" i="66" s="1"/>
  <c r="F77" i="66" s="1"/>
  <c r="L77" i="46"/>
  <c r="F70" i="63"/>
  <c r="L70" i="46"/>
  <c r="F58" i="63"/>
  <c r="D58" i="66" s="1"/>
  <c r="F58" i="66" s="1"/>
  <c r="L58" i="46"/>
  <c r="E34" i="63"/>
  <c r="E129" i="63" s="1"/>
  <c r="L27" i="46"/>
  <c r="F126" i="63"/>
  <c r="D126" i="66" s="1"/>
  <c r="F126" i="66" s="1"/>
  <c r="L95" i="46"/>
  <c r="L87" i="46"/>
  <c r="K101" i="46"/>
  <c r="L62" i="46"/>
  <c r="K47" i="46"/>
  <c r="K48" i="46"/>
  <c r="K45" i="46"/>
  <c r="K46" i="46"/>
  <c r="F27" i="63"/>
  <c r="D27" i="66" s="1"/>
  <c r="F27" i="66" s="1"/>
  <c r="E64" i="63"/>
  <c r="E79" i="63"/>
  <c r="F71" i="63"/>
  <c r="D71" i="66" s="1"/>
  <c r="F71" i="66" s="1"/>
  <c r="F77" i="61"/>
  <c r="E50" i="61"/>
  <c r="F25" i="61"/>
  <c r="F86" i="61"/>
  <c r="E58" i="61"/>
  <c r="F58" i="61" s="1"/>
  <c r="F27" i="61"/>
  <c r="F24" i="61"/>
  <c r="E129" i="61"/>
  <c r="E95" i="61"/>
  <c r="F87" i="61"/>
  <c r="D87" i="63" s="1"/>
  <c r="F87" i="63" s="1"/>
  <c r="D87" i="66" s="1"/>
  <c r="F87" i="66" s="1"/>
  <c r="F124" i="61"/>
  <c r="F126" i="61"/>
  <c r="E106" i="61"/>
  <c r="E118" i="61" s="1"/>
  <c r="E15" i="61"/>
  <c r="E17" i="61" s="1"/>
  <c r="F17" i="61" s="1"/>
  <c r="E62" i="61"/>
  <c r="F70" i="61"/>
  <c r="F123" i="61"/>
  <c r="J16" i="46"/>
  <c r="J26" i="46"/>
  <c r="J30" i="46"/>
  <c r="J31" i="46"/>
  <c r="J32" i="46"/>
  <c r="J76" i="46"/>
  <c r="J90" i="46"/>
  <c r="J91" i="46"/>
  <c r="J92" i="46"/>
  <c r="J93" i="46"/>
  <c r="J100" i="46"/>
  <c r="J101" i="46"/>
  <c r="J105" i="46"/>
  <c r="J109" i="46"/>
  <c r="J110" i="46"/>
  <c r="J113" i="46"/>
  <c r="J114" i="46"/>
  <c r="J115" i="46"/>
  <c r="J116" i="46"/>
  <c r="E104" i="59"/>
  <c r="J104" i="46" s="1"/>
  <c r="E85" i="59"/>
  <c r="E123" i="59"/>
  <c r="J123" i="46" s="1"/>
  <c r="E86" i="59"/>
  <c r="J86" i="46" s="1"/>
  <c r="E84" i="59"/>
  <c r="J84" i="46" s="1"/>
  <c r="E75" i="59"/>
  <c r="E15" i="59" s="1"/>
  <c r="E74" i="59"/>
  <c r="E69" i="59"/>
  <c r="J69" i="46" s="1"/>
  <c r="E61" i="59"/>
  <c r="J61" i="46" s="1"/>
  <c r="E57" i="59"/>
  <c r="J57" i="46" s="1"/>
  <c r="E56" i="59"/>
  <c r="J56" i="46" s="1"/>
  <c r="E55" i="59"/>
  <c r="J55" i="46" s="1"/>
  <c r="E54" i="59"/>
  <c r="J54" i="46" s="1"/>
  <c r="E53" i="59"/>
  <c r="J53" i="46" s="1"/>
  <c r="E49" i="59"/>
  <c r="E48" i="59"/>
  <c r="E47" i="59"/>
  <c r="J47" i="46" s="1"/>
  <c r="E46" i="59"/>
  <c r="E45" i="59"/>
  <c r="E44" i="59"/>
  <c r="J44" i="46" s="1"/>
  <c r="E43" i="59"/>
  <c r="J43" i="46" s="1"/>
  <c r="E42" i="59"/>
  <c r="E41" i="59"/>
  <c r="J41" i="46" s="1"/>
  <c r="E25" i="59"/>
  <c r="J25" i="46" s="1"/>
  <c r="E24" i="59"/>
  <c r="E124" i="59"/>
  <c r="J124" i="46" s="1"/>
  <c r="E116" i="59"/>
  <c r="F116" i="59"/>
  <c r="F115" i="59"/>
  <c r="F114" i="59"/>
  <c r="F113" i="59"/>
  <c r="E110" i="59"/>
  <c r="F110" i="59"/>
  <c r="F109" i="59"/>
  <c r="F105" i="59"/>
  <c r="F101" i="59"/>
  <c r="E101" i="59"/>
  <c r="F100" i="59"/>
  <c r="F93" i="59"/>
  <c r="E93" i="59"/>
  <c r="F92" i="59"/>
  <c r="F91" i="59"/>
  <c r="F90" i="59"/>
  <c r="F76" i="59"/>
  <c r="E32" i="59"/>
  <c r="F32" i="59"/>
  <c r="F31" i="59"/>
  <c r="F30" i="59"/>
  <c r="F26" i="59"/>
  <c r="F16" i="59"/>
  <c r="E130" i="63" l="1"/>
  <c r="F79" i="63"/>
  <c r="D79" i="66" s="1"/>
  <c r="F79" i="66" s="1"/>
  <c r="L79" i="46"/>
  <c r="L34" i="46"/>
  <c r="F118" i="61"/>
  <c r="D118" i="63" s="1"/>
  <c r="F118" i="63" s="1"/>
  <c r="D118" i="66" s="1"/>
  <c r="F118" i="66" s="1"/>
  <c r="K118" i="46"/>
  <c r="F95" i="61"/>
  <c r="D95" i="63" s="1"/>
  <c r="F95" i="63" s="1"/>
  <c r="D95" i="66" s="1"/>
  <c r="F95" i="66" s="1"/>
  <c r="K95" i="46"/>
  <c r="L64" i="46"/>
  <c r="K50" i="46"/>
  <c r="K62" i="46"/>
  <c r="E70" i="59"/>
  <c r="J70" i="46" s="1"/>
  <c r="F106" i="61"/>
  <c r="E71" i="61"/>
  <c r="E64" i="61"/>
  <c r="K64" i="46" s="1"/>
  <c r="F15" i="61"/>
  <c r="J42" i="46"/>
  <c r="E17" i="59"/>
  <c r="J15" i="46"/>
  <c r="J49" i="46"/>
  <c r="J24" i="46"/>
  <c r="J75" i="46"/>
  <c r="J48" i="46"/>
  <c r="J74" i="46"/>
  <c r="E77" i="59"/>
  <c r="J46" i="46"/>
  <c r="E58" i="59"/>
  <c r="J85" i="46"/>
  <c r="J45" i="46"/>
  <c r="E87" i="59"/>
  <c r="J87" i="46" s="1"/>
  <c r="E50" i="59"/>
  <c r="J50" i="46" s="1"/>
  <c r="E27" i="59"/>
  <c r="J27" i="46" s="1"/>
  <c r="E95" i="59"/>
  <c r="E126" i="59"/>
  <c r="E34" i="59"/>
  <c r="J34" i="46" s="1"/>
  <c r="E62" i="59"/>
  <c r="I132" i="46"/>
  <c r="I130" i="46"/>
  <c r="I128" i="46"/>
  <c r="I126" i="46"/>
  <c r="I124" i="46"/>
  <c r="I123" i="46"/>
  <c r="I118" i="46"/>
  <c r="I116" i="46"/>
  <c r="I115" i="46"/>
  <c r="I114" i="46"/>
  <c r="I113" i="46"/>
  <c r="I110" i="46"/>
  <c r="I109" i="46"/>
  <c r="I106" i="46"/>
  <c r="I105" i="46"/>
  <c r="I104" i="46"/>
  <c r="I101" i="46"/>
  <c r="I100" i="46"/>
  <c r="I95" i="46"/>
  <c r="I93" i="46"/>
  <c r="I92" i="46"/>
  <c r="I91" i="46"/>
  <c r="I90" i="46"/>
  <c r="I87" i="46"/>
  <c r="I86" i="46"/>
  <c r="I85" i="46"/>
  <c r="I84" i="46"/>
  <c r="I79" i="46"/>
  <c r="I77" i="46"/>
  <c r="I76" i="46"/>
  <c r="I75" i="46"/>
  <c r="I74" i="46"/>
  <c r="I71" i="46"/>
  <c r="I70" i="46"/>
  <c r="I69" i="46"/>
  <c r="I64" i="46"/>
  <c r="I62" i="46"/>
  <c r="I61" i="46"/>
  <c r="I58" i="46"/>
  <c r="I57" i="46"/>
  <c r="I56" i="46"/>
  <c r="I55" i="46"/>
  <c r="I54" i="46"/>
  <c r="I53" i="46"/>
  <c r="I50" i="46"/>
  <c r="I49" i="46"/>
  <c r="I48" i="46"/>
  <c r="I47" i="46"/>
  <c r="I46" i="46"/>
  <c r="I45" i="46"/>
  <c r="I44" i="46"/>
  <c r="I43" i="46"/>
  <c r="I42" i="46"/>
  <c r="I41" i="46"/>
  <c r="I34" i="46"/>
  <c r="I32" i="46"/>
  <c r="I31" i="46"/>
  <c r="I30" i="46"/>
  <c r="I27" i="46"/>
  <c r="I26" i="46"/>
  <c r="I25" i="46"/>
  <c r="I24" i="46"/>
  <c r="I19" i="46"/>
  <c r="I17" i="46"/>
  <c r="I16" i="46"/>
  <c r="I15" i="46"/>
  <c r="I12" i="46"/>
  <c r="I11" i="46"/>
  <c r="D116" i="57"/>
  <c r="D115" i="57"/>
  <c r="D114" i="57"/>
  <c r="F114" i="57" s="1"/>
  <c r="D113" i="57"/>
  <c r="F113" i="57" s="1"/>
  <c r="D110" i="57"/>
  <c r="D109" i="57"/>
  <c r="D105" i="57"/>
  <c r="D101" i="57"/>
  <c r="D100" i="57"/>
  <c r="F100" i="57" s="1"/>
  <c r="D93" i="57"/>
  <c r="D92" i="57"/>
  <c r="D91" i="57"/>
  <c r="D90" i="57"/>
  <c r="D76" i="57"/>
  <c r="D32" i="57"/>
  <c r="D31" i="57"/>
  <c r="D30" i="57"/>
  <c r="F30" i="57" s="1"/>
  <c r="D26" i="57"/>
  <c r="D16" i="57"/>
  <c r="D116" i="55"/>
  <c r="D115" i="55"/>
  <c r="D114" i="55"/>
  <c r="D113" i="55"/>
  <c r="D110" i="55"/>
  <c r="D109" i="55"/>
  <c r="D105" i="55"/>
  <c r="D101" i="55"/>
  <c r="D100" i="55"/>
  <c r="D93" i="55"/>
  <c r="D92" i="55"/>
  <c r="D91" i="55"/>
  <c r="D90" i="55"/>
  <c r="D76" i="55"/>
  <c r="D75" i="55"/>
  <c r="D32" i="55"/>
  <c r="D31" i="55"/>
  <c r="D30" i="55"/>
  <c r="D26" i="55"/>
  <c r="D17" i="55"/>
  <c r="D16" i="55"/>
  <c r="D15" i="55"/>
  <c r="E70" i="57"/>
  <c r="E104" i="57"/>
  <c r="E106" i="57" s="1"/>
  <c r="E123" i="57"/>
  <c r="E86" i="57"/>
  <c r="E85" i="57"/>
  <c r="E84" i="57"/>
  <c r="E75" i="57"/>
  <c r="E74" i="57"/>
  <c r="E69" i="57"/>
  <c r="E61" i="57"/>
  <c r="E57" i="57"/>
  <c r="E58" i="57" s="1"/>
  <c r="E56" i="57"/>
  <c r="E55" i="57"/>
  <c r="E54" i="57"/>
  <c r="E53" i="57"/>
  <c r="E49" i="57"/>
  <c r="E48" i="57"/>
  <c r="E47" i="57"/>
  <c r="E46" i="57"/>
  <c r="E45" i="57"/>
  <c r="E44" i="57"/>
  <c r="E43" i="57"/>
  <c r="E42" i="57"/>
  <c r="E41" i="57"/>
  <c r="E25" i="57"/>
  <c r="E24" i="57"/>
  <c r="E124" i="57"/>
  <c r="F116" i="57"/>
  <c r="E116" i="57"/>
  <c r="F115" i="57"/>
  <c r="E110" i="57"/>
  <c r="F110" i="57"/>
  <c r="F109" i="57"/>
  <c r="F105" i="57"/>
  <c r="E101" i="57"/>
  <c r="F101" i="57"/>
  <c r="E93" i="57"/>
  <c r="F93" i="57"/>
  <c r="F92" i="57"/>
  <c r="F91" i="57"/>
  <c r="F90" i="57"/>
  <c r="F76" i="57"/>
  <c r="E32" i="57"/>
  <c r="F32" i="57"/>
  <c r="F31" i="57"/>
  <c r="F26" i="57"/>
  <c r="F16" i="57"/>
  <c r="A132" i="63" l="1"/>
  <c r="L130" i="46"/>
  <c r="L128" i="46"/>
  <c r="L129" i="46" s="1"/>
  <c r="A2" i="63"/>
  <c r="A1" i="63"/>
  <c r="G2" i="63"/>
  <c r="E131" i="63"/>
  <c r="E71" i="59"/>
  <c r="E79" i="61"/>
  <c r="F79" i="61" s="1"/>
  <c r="F71" i="61"/>
  <c r="J95" i="46"/>
  <c r="E79" i="59"/>
  <c r="J71" i="46"/>
  <c r="J58" i="46"/>
  <c r="E64" i="59"/>
  <c r="J64" i="46" s="1"/>
  <c r="J62" i="46"/>
  <c r="J126" i="46"/>
  <c r="J77" i="46"/>
  <c r="J17" i="46"/>
  <c r="E129" i="59"/>
  <c r="J128" i="46" s="1"/>
  <c r="K129" i="46" s="1"/>
  <c r="E15" i="57"/>
  <c r="E27" i="57"/>
  <c r="E34" i="57" s="1"/>
  <c r="E129" i="57" s="1"/>
  <c r="E87" i="57"/>
  <c r="E118" i="57"/>
  <c r="E71" i="57"/>
  <c r="E126" i="57"/>
  <c r="E77" i="57"/>
  <c r="E50" i="57"/>
  <c r="E64" i="57" s="1"/>
  <c r="E62" i="57"/>
  <c r="E17" i="57"/>
  <c r="H115" i="46"/>
  <c r="H114" i="46"/>
  <c r="H113" i="46"/>
  <c r="H109" i="46"/>
  <c r="H105" i="46"/>
  <c r="H100" i="46"/>
  <c r="H92" i="46"/>
  <c r="H91" i="46"/>
  <c r="H90" i="46"/>
  <c r="H76" i="46"/>
  <c r="H31" i="46"/>
  <c r="H30" i="46"/>
  <c r="H26" i="46"/>
  <c r="H16" i="46"/>
  <c r="E85" i="55"/>
  <c r="H85" i="46" s="1"/>
  <c r="E86" i="55"/>
  <c r="H86" i="46" s="1"/>
  <c r="E104" i="55"/>
  <c r="H104" i="46" s="1"/>
  <c r="E75" i="55"/>
  <c r="E15" i="55" s="1"/>
  <c r="E69" i="55"/>
  <c r="E123" i="55"/>
  <c r="E124" i="55" s="1"/>
  <c r="E126" i="55" s="1"/>
  <c r="H126" i="46" s="1"/>
  <c r="E84" i="55"/>
  <c r="H84" i="46" s="1"/>
  <c r="E74" i="55"/>
  <c r="H74" i="46" s="1"/>
  <c r="E61" i="55"/>
  <c r="E62" i="55" s="1"/>
  <c r="H62" i="46" s="1"/>
  <c r="E57" i="55"/>
  <c r="H57" i="46" s="1"/>
  <c r="E56" i="55"/>
  <c r="H56" i="46" s="1"/>
  <c r="E55" i="55"/>
  <c r="H55" i="46" s="1"/>
  <c r="E54" i="55"/>
  <c r="E53" i="55"/>
  <c r="H53" i="46" s="1"/>
  <c r="E49" i="55"/>
  <c r="H49" i="46" s="1"/>
  <c r="E48" i="55"/>
  <c r="H48" i="46" s="1"/>
  <c r="E47" i="55"/>
  <c r="H47" i="46" s="1"/>
  <c r="E46" i="55"/>
  <c r="E45" i="55"/>
  <c r="E44" i="55"/>
  <c r="H44" i="46" s="1"/>
  <c r="E43" i="55"/>
  <c r="H43" i="46" s="1"/>
  <c r="E42" i="55"/>
  <c r="H42" i="46" s="1"/>
  <c r="E41" i="55"/>
  <c r="H41" i="46" s="1"/>
  <c r="E25" i="55"/>
  <c r="H25" i="46" s="1"/>
  <c r="E24" i="55"/>
  <c r="E116" i="55"/>
  <c r="H116" i="46" s="1"/>
  <c r="E110" i="55"/>
  <c r="H110" i="46" s="1"/>
  <c r="E101" i="55"/>
  <c r="H101" i="46" s="1"/>
  <c r="E93" i="55"/>
  <c r="H93" i="46" s="1"/>
  <c r="E32" i="55"/>
  <c r="H32" i="46" s="1"/>
  <c r="E11" i="63" l="1"/>
  <c r="L11" i="46" s="1"/>
  <c r="L132" i="46"/>
  <c r="E130" i="61"/>
  <c r="K130" i="46" s="1"/>
  <c r="J79" i="46"/>
  <c r="E95" i="57"/>
  <c r="E79" i="57"/>
  <c r="E17" i="55"/>
  <c r="H17" i="46" s="1"/>
  <c r="H15" i="46"/>
  <c r="H75" i="46"/>
  <c r="H24" i="46"/>
  <c r="H61" i="46"/>
  <c r="H123" i="46"/>
  <c r="E70" i="55"/>
  <c r="H70" i="46" s="1"/>
  <c r="H124" i="46"/>
  <c r="H54" i="46"/>
  <c r="H69" i="46"/>
  <c r="H45" i="46"/>
  <c r="H46" i="46"/>
  <c r="E87" i="55"/>
  <c r="E77" i="55"/>
  <c r="E58" i="55"/>
  <c r="E50" i="55"/>
  <c r="H50" i="46" s="1"/>
  <c r="E27" i="55"/>
  <c r="E106" i="55"/>
  <c r="E86" i="51"/>
  <c r="E84" i="51"/>
  <c r="F84" i="46" s="1"/>
  <c r="G115" i="46"/>
  <c r="G114" i="46"/>
  <c r="G113" i="46"/>
  <c r="G109" i="46"/>
  <c r="G105" i="46"/>
  <c r="G100" i="46"/>
  <c r="G93" i="46"/>
  <c r="G92" i="46"/>
  <c r="G91" i="46"/>
  <c r="G90" i="46"/>
  <c r="G76" i="46"/>
  <c r="G75" i="46"/>
  <c r="G31" i="46"/>
  <c r="G30" i="46"/>
  <c r="G26" i="46"/>
  <c r="G16" i="46"/>
  <c r="G15" i="46"/>
  <c r="F115" i="46"/>
  <c r="F114" i="46"/>
  <c r="F113" i="46"/>
  <c r="F109" i="46"/>
  <c r="F105" i="46"/>
  <c r="F100" i="46"/>
  <c r="F92" i="46"/>
  <c r="F91" i="46"/>
  <c r="F90" i="46"/>
  <c r="F76" i="46"/>
  <c r="F75" i="46"/>
  <c r="F36" i="46"/>
  <c r="F31" i="46"/>
  <c r="F30" i="46"/>
  <c r="F26" i="46"/>
  <c r="F16" i="46"/>
  <c r="F15" i="46"/>
  <c r="E115" i="46"/>
  <c r="D115" i="46"/>
  <c r="E114" i="46"/>
  <c r="D114" i="46"/>
  <c r="E113" i="46"/>
  <c r="D113" i="46"/>
  <c r="E109" i="46"/>
  <c r="D109" i="46"/>
  <c r="E105" i="46"/>
  <c r="D105" i="46"/>
  <c r="E100" i="46"/>
  <c r="D100" i="46"/>
  <c r="E92" i="46"/>
  <c r="D92" i="46"/>
  <c r="E91" i="46"/>
  <c r="D91" i="46"/>
  <c r="E90" i="46"/>
  <c r="D86" i="46"/>
  <c r="D85" i="46"/>
  <c r="D84" i="46"/>
  <c r="E76" i="46"/>
  <c r="D76" i="46"/>
  <c r="E75" i="46"/>
  <c r="D75" i="46"/>
  <c r="D36" i="46"/>
  <c r="D31" i="46"/>
  <c r="E30" i="46"/>
  <c r="D30" i="46"/>
  <c r="E26" i="46"/>
  <c r="D26" i="46"/>
  <c r="E16" i="46"/>
  <c r="D16" i="46"/>
  <c r="E15" i="46"/>
  <c r="D15" i="46"/>
  <c r="E86" i="53"/>
  <c r="E49" i="53"/>
  <c r="E48" i="53"/>
  <c r="G48" i="46" s="1"/>
  <c r="E47" i="53"/>
  <c r="G47" i="46" s="1"/>
  <c r="E46" i="53"/>
  <c r="E45" i="53"/>
  <c r="E44" i="53"/>
  <c r="G44" i="46" s="1"/>
  <c r="E43" i="53"/>
  <c r="G43" i="46" s="1"/>
  <c r="E42" i="53"/>
  <c r="G42" i="46" s="1"/>
  <c r="E41" i="53"/>
  <c r="E61" i="53"/>
  <c r="E123" i="53"/>
  <c r="G123" i="46" s="1"/>
  <c r="E104" i="53"/>
  <c r="G104" i="46" s="1"/>
  <c r="E85" i="53"/>
  <c r="G85" i="46" s="1"/>
  <c r="E84" i="53"/>
  <c r="G84" i="46" s="1"/>
  <c r="E74" i="53"/>
  <c r="G74" i="46" s="1"/>
  <c r="E70" i="53"/>
  <c r="E69" i="53"/>
  <c r="E57" i="53"/>
  <c r="G57" i="46" s="1"/>
  <c r="E56" i="53"/>
  <c r="G56" i="46" s="1"/>
  <c r="E55" i="53"/>
  <c r="G55" i="46" s="1"/>
  <c r="E54" i="53"/>
  <c r="G54" i="46" s="1"/>
  <c r="E53" i="53"/>
  <c r="E25" i="53"/>
  <c r="G25" i="46" s="1"/>
  <c r="E24" i="53"/>
  <c r="G24" i="46" s="1"/>
  <c r="E116" i="53"/>
  <c r="G116" i="46" s="1"/>
  <c r="E110" i="53"/>
  <c r="G110" i="46" s="1"/>
  <c r="E101" i="53"/>
  <c r="G101" i="46" s="1"/>
  <c r="E93" i="53"/>
  <c r="E32" i="53"/>
  <c r="G32" i="46" s="1"/>
  <c r="E17" i="53"/>
  <c r="G17" i="46" s="1"/>
  <c r="E123" i="51"/>
  <c r="F123" i="46" s="1"/>
  <c r="E104" i="51"/>
  <c r="F104" i="46" s="1"/>
  <c r="E85" i="51"/>
  <c r="F85" i="46" s="1"/>
  <c r="E74" i="51"/>
  <c r="F74" i="46" s="1"/>
  <c r="E70" i="51"/>
  <c r="E69" i="51"/>
  <c r="F69" i="46" s="1"/>
  <c r="E61" i="51"/>
  <c r="F61" i="46" s="1"/>
  <c r="E57" i="51"/>
  <c r="F57" i="46" s="1"/>
  <c r="E56" i="51"/>
  <c r="E55" i="51"/>
  <c r="F55" i="46" s="1"/>
  <c r="E54" i="51"/>
  <c r="F54" i="46" s="1"/>
  <c r="E53" i="51"/>
  <c r="F53" i="46" s="1"/>
  <c r="E49" i="51"/>
  <c r="F49" i="46" s="1"/>
  <c r="E48" i="51"/>
  <c r="F48" i="46" s="1"/>
  <c r="E47" i="51"/>
  <c r="E46" i="51"/>
  <c r="E45" i="51"/>
  <c r="E44" i="51"/>
  <c r="F44" i="46" s="1"/>
  <c r="E43" i="51"/>
  <c r="F43" i="46" s="1"/>
  <c r="E42" i="51"/>
  <c r="F42" i="46" s="1"/>
  <c r="E41" i="51"/>
  <c r="E25" i="51"/>
  <c r="F25" i="46" s="1"/>
  <c r="E24" i="51"/>
  <c r="E32" i="51"/>
  <c r="F32" i="46" s="1"/>
  <c r="E116" i="51"/>
  <c r="F116" i="46" s="1"/>
  <c r="E110" i="51"/>
  <c r="F110" i="46" s="1"/>
  <c r="E101" i="51"/>
  <c r="F101" i="46" s="1"/>
  <c r="E93" i="51"/>
  <c r="F93" i="46" s="1"/>
  <c r="E17" i="51"/>
  <c r="E12" i="63" l="1"/>
  <c r="L12" i="46" s="1"/>
  <c r="A132" i="61"/>
  <c r="G2" i="61"/>
  <c r="A2" i="61"/>
  <c r="A1" i="61"/>
  <c r="E131" i="61"/>
  <c r="K132" i="46" s="1"/>
  <c r="E130" i="57"/>
  <c r="H58" i="46"/>
  <c r="H106" i="46"/>
  <c r="E71" i="55"/>
  <c r="H71" i="46" s="1"/>
  <c r="H77" i="46"/>
  <c r="E95" i="55"/>
  <c r="H87" i="46"/>
  <c r="H27" i="46"/>
  <c r="E106" i="53"/>
  <c r="G106" i="46" s="1"/>
  <c r="E64" i="55"/>
  <c r="E34" i="55"/>
  <c r="E124" i="53"/>
  <c r="G124" i="46" s="1"/>
  <c r="E118" i="55"/>
  <c r="E58" i="53"/>
  <c r="G58" i="46" s="1"/>
  <c r="G41" i="46"/>
  <c r="G49" i="46"/>
  <c r="G61" i="46"/>
  <c r="E27" i="53"/>
  <c r="E87" i="53"/>
  <c r="G87" i="46" s="1"/>
  <c r="G53" i="46"/>
  <c r="G69" i="46"/>
  <c r="G45" i="46"/>
  <c r="G70" i="46"/>
  <c r="G46" i="46"/>
  <c r="G86" i="46"/>
  <c r="E77" i="53"/>
  <c r="E124" i="51"/>
  <c r="F124" i="46" s="1"/>
  <c r="E106" i="51"/>
  <c r="E118" i="51" s="1"/>
  <c r="E87" i="51"/>
  <c r="F87" i="46" s="1"/>
  <c r="E62" i="51"/>
  <c r="F62" i="46" s="1"/>
  <c r="E71" i="51"/>
  <c r="F71" i="46" s="1"/>
  <c r="E27" i="51"/>
  <c r="F27" i="46" s="1"/>
  <c r="F70" i="46"/>
  <c r="F45" i="46"/>
  <c r="F46" i="46"/>
  <c r="F56" i="46"/>
  <c r="F86" i="46"/>
  <c r="F47" i="46"/>
  <c r="F24" i="46"/>
  <c r="E50" i="51"/>
  <c r="F50" i="46" s="1"/>
  <c r="F41" i="46"/>
  <c r="E62" i="53"/>
  <c r="E71" i="53"/>
  <c r="E50" i="53"/>
  <c r="G50" i="46" s="1"/>
  <c r="E58" i="51"/>
  <c r="F58" i="46" s="1"/>
  <c r="E77" i="51"/>
  <c r="H49" i="49"/>
  <c r="J49" i="49"/>
  <c r="K49" i="49"/>
  <c r="L49" i="49"/>
  <c r="M49" i="49"/>
  <c r="N49" i="49"/>
  <c r="H51" i="49"/>
  <c r="K51" i="49"/>
  <c r="L51" i="49"/>
  <c r="M51" i="49"/>
  <c r="N51" i="49"/>
  <c r="H47" i="49"/>
  <c r="I47" i="49"/>
  <c r="J47" i="49"/>
  <c r="K47" i="49"/>
  <c r="L47" i="49"/>
  <c r="M47" i="49"/>
  <c r="N47" i="49"/>
  <c r="E19" i="63" l="1"/>
  <c r="L19" i="46" s="1"/>
  <c r="K11" i="49" s="1"/>
  <c r="E11" i="61"/>
  <c r="K11" i="46" s="1"/>
  <c r="J51" i="49"/>
  <c r="E12" i="61"/>
  <c r="K12" i="46" s="1"/>
  <c r="J9" i="49" s="1"/>
  <c r="E118" i="53"/>
  <c r="A132" i="57"/>
  <c r="G2" i="57"/>
  <c r="A1" i="57"/>
  <c r="A2" i="57"/>
  <c r="E131" i="57"/>
  <c r="E11" i="57" s="1"/>
  <c r="E129" i="55"/>
  <c r="H128" i="46" s="1"/>
  <c r="G47" i="49" s="1"/>
  <c r="H34" i="46"/>
  <c r="G16" i="49" s="1"/>
  <c r="H64" i="46"/>
  <c r="G24" i="49" s="1"/>
  <c r="E126" i="53"/>
  <c r="G126" i="46" s="1"/>
  <c r="F45" i="49" s="1"/>
  <c r="E79" i="55"/>
  <c r="H95" i="46"/>
  <c r="H118" i="46"/>
  <c r="G41" i="49" s="1"/>
  <c r="E95" i="53"/>
  <c r="G95" i="46" s="1"/>
  <c r="F34" i="49" s="1"/>
  <c r="E126" i="51"/>
  <c r="F126" i="46" s="1"/>
  <c r="E45" i="49" s="1"/>
  <c r="E79" i="53"/>
  <c r="G71" i="46"/>
  <c r="F27" i="49" s="1"/>
  <c r="G118" i="46"/>
  <c r="F41" i="49" s="1"/>
  <c r="G62" i="46"/>
  <c r="E34" i="53"/>
  <c r="G27" i="46"/>
  <c r="F14" i="49" s="1"/>
  <c r="G77" i="46"/>
  <c r="F28" i="49" s="1"/>
  <c r="E95" i="51"/>
  <c r="F95" i="46" s="1"/>
  <c r="E34" i="49" s="1"/>
  <c r="E79" i="51"/>
  <c r="E34" i="51"/>
  <c r="F34" i="46" s="1"/>
  <c r="E16" i="49" s="1"/>
  <c r="E64" i="51"/>
  <c r="F64" i="46" s="1"/>
  <c r="E24" i="49" s="1"/>
  <c r="F118" i="46"/>
  <c r="E41" i="49" s="1"/>
  <c r="F77" i="46"/>
  <c r="E28" i="49" s="1"/>
  <c r="E64" i="53"/>
  <c r="A6" i="47"/>
  <c r="A7" i="47"/>
  <c r="G45" i="49"/>
  <c r="H45" i="49"/>
  <c r="I45" i="49"/>
  <c r="J45" i="49"/>
  <c r="K45" i="49"/>
  <c r="L45" i="49"/>
  <c r="M45" i="49"/>
  <c r="N45" i="49"/>
  <c r="E44" i="49"/>
  <c r="F44" i="49"/>
  <c r="G44" i="49"/>
  <c r="H44" i="49"/>
  <c r="I44" i="49"/>
  <c r="J44" i="49"/>
  <c r="K44" i="49"/>
  <c r="L44" i="49"/>
  <c r="M44" i="49"/>
  <c r="N44" i="49"/>
  <c r="H41" i="49"/>
  <c r="J41" i="49"/>
  <c r="K41" i="49"/>
  <c r="L41" i="49"/>
  <c r="M41" i="49"/>
  <c r="N41" i="49"/>
  <c r="B14" i="49"/>
  <c r="B16" i="49"/>
  <c r="B18" i="49"/>
  <c r="A43" i="47"/>
  <c r="A39" i="47"/>
  <c r="A38" i="47"/>
  <c r="A37" i="47"/>
  <c r="A36" i="47"/>
  <c r="A32" i="47"/>
  <c r="A31" i="47"/>
  <c r="A27" i="47"/>
  <c r="A26" i="47"/>
  <c r="A22" i="47"/>
  <c r="A21" i="47"/>
  <c r="A20" i="47"/>
  <c r="A14" i="47"/>
  <c r="A13" i="47"/>
  <c r="E40" i="49"/>
  <c r="F40" i="49"/>
  <c r="G40" i="49"/>
  <c r="H40" i="49"/>
  <c r="I40" i="49"/>
  <c r="J40" i="49"/>
  <c r="K40" i="49"/>
  <c r="L40" i="49"/>
  <c r="M40" i="49"/>
  <c r="N40" i="49"/>
  <c r="E39" i="49"/>
  <c r="F39" i="49"/>
  <c r="G39" i="49"/>
  <c r="H39" i="49"/>
  <c r="I39" i="49"/>
  <c r="J39" i="49"/>
  <c r="K39" i="49"/>
  <c r="L39" i="49"/>
  <c r="M39" i="49"/>
  <c r="N39" i="49"/>
  <c r="E38" i="49"/>
  <c r="F38" i="49"/>
  <c r="G38" i="49"/>
  <c r="H38" i="49"/>
  <c r="J38" i="49"/>
  <c r="K38" i="49"/>
  <c r="L38" i="49"/>
  <c r="M38" i="49"/>
  <c r="N38" i="49"/>
  <c r="E37" i="49"/>
  <c r="F37" i="49"/>
  <c r="G37" i="49"/>
  <c r="H37" i="49"/>
  <c r="I37" i="49"/>
  <c r="J37" i="49"/>
  <c r="K37" i="49"/>
  <c r="L37" i="49"/>
  <c r="M37" i="49"/>
  <c r="N37" i="49"/>
  <c r="G34" i="49"/>
  <c r="H34" i="49"/>
  <c r="I34" i="49"/>
  <c r="J34" i="49"/>
  <c r="K34" i="49"/>
  <c r="L34" i="49"/>
  <c r="M34" i="49"/>
  <c r="N34" i="49"/>
  <c r="E33" i="49"/>
  <c r="F33" i="49"/>
  <c r="G33" i="49"/>
  <c r="H33" i="49"/>
  <c r="I33" i="49"/>
  <c r="J33" i="49"/>
  <c r="K33" i="49"/>
  <c r="L33" i="49"/>
  <c r="M33" i="49"/>
  <c r="N33" i="49"/>
  <c r="E32" i="49"/>
  <c r="F32" i="49"/>
  <c r="G32" i="49"/>
  <c r="H32" i="49"/>
  <c r="I32" i="49"/>
  <c r="J32" i="49"/>
  <c r="K32" i="49"/>
  <c r="L32" i="49"/>
  <c r="M32" i="49"/>
  <c r="N32" i="49"/>
  <c r="H29" i="49"/>
  <c r="I29" i="49"/>
  <c r="J29" i="49"/>
  <c r="K29" i="49"/>
  <c r="L29" i="49"/>
  <c r="M29" i="49"/>
  <c r="N29" i="49"/>
  <c r="G28" i="49"/>
  <c r="H28" i="49"/>
  <c r="I28" i="49"/>
  <c r="J28" i="49"/>
  <c r="K28" i="49"/>
  <c r="L28" i="49"/>
  <c r="M28" i="49"/>
  <c r="N28" i="49"/>
  <c r="E27" i="49"/>
  <c r="G27" i="49"/>
  <c r="H27" i="49"/>
  <c r="I27" i="49"/>
  <c r="J27" i="49"/>
  <c r="K27" i="49"/>
  <c r="L27" i="49"/>
  <c r="M27" i="49"/>
  <c r="N27" i="49"/>
  <c r="H24" i="49"/>
  <c r="I24" i="49"/>
  <c r="J24" i="49"/>
  <c r="K24" i="49"/>
  <c r="L24" i="49"/>
  <c r="M24" i="49"/>
  <c r="N24" i="49"/>
  <c r="E23" i="49"/>
  <c r="F23" i="49"/>
  <c r="G23" i="49"/>
  <c r="H23" i="49"/>
  <c r="I23" i="49"/>
  <c r="J23" i="49"/>
  <c r="K23" i="49"/>
  <c r="L23" i="49"/>
  <c r="M23" i="49"/>
  <c r="N23" i="49"/>
  <c r="E22" i="49"/>
  <c r="F22" i="49"/>
  <c r="G22" i="49"/>
  <c r="H22" i="49"/>
  <c r="I22" i="49"/>
  <c r="J22" i="49"/>
  <c r="K22" i="49"/>
  <c r="L22" i="49"/>
  <c r="M22" i="49"/>
  <c r="N22" i="49"/>
  <c r="E21" i="49"/>
  <c r="F21" i="49"/>
  <c r="G21" i="49"/>
  <c r="H21" i="49"/>
  <c r="I21" i="49"/>
  <c r="J21" i="49"/>
  <c r="K21" i="49"/>
  <c r="L21" i="49"/>
  <c r="M21" i="49"/>
  <c r="N21" i="49"/>
  <c r="H16" i="49"/>
  <c r="I16" i="49"/>
  <c r="J16" i="49"/>
  <c r="K16" i="49"/>
  <c r="L16" i="49"/>
  <c r="M16" i="49"/>
  <c r="N16" i="49"/>
  <c r="E15" i="49"/>
  <c r="F15" i="49"/>
  <c r="G15" i="49"/>
  <c r="H15" i="49"/>
  <c r="I15" i="49"/>
  <c r="J15" i="49"/>
  <c r="K15" i="49"/>
  <c r="L15" i="49"/>
  <c r="M15" i="49"/>
  <c r="N15" i="49"/>
  <c r="E14" i="49"/>
  <c r="G14" i="49"/>
  <c r="H14" i="49"/>
  <c r="I14" i="49"/>
  <c r="J14" i="49"/>
  <c r="K14" i="49"/>
  <c r="L14" i="49"/>
  <c r="M14" i="49"/>
  <c r="N14" i="49"/>
  <c r="H11" i="49"/>
  <c r="L11" i="49"/>
  <c r="M11" i="49"/>
  <c r="N11" i="49"/>
  <c r="E10" i="49"/>
  <c r="F10" i="49"/>
  <c r="G10" i="49"/>
  <c r="H10" i="49"/>
  <c r="I10" i="49"/>
  <c r="J10" i="49"/>
  <c r="K10" i="49"/>
  <c r="L10" i="49"/>
  <c r="M10" i="49"/>
  <c r="N10" i="49"/>
  <c r="H9" i="49"/>
  <c r="K9" i="49"/>
  <c r="L9" i="49"/>
  <c r="M9" i="49"/>
  <c r="N9" i="49"/>
  <c r="C38" i="49"/>
  <c r="C10" i="49"/>
  <c r="A44" i="49"/>
  <c r="A40" i="49"/>
  <c r="A39" i="49"/>
  <c r="A38" i="49"/>
  <c r="A37" i="49"/>
  <c r="A33" i="49"/>
  <c r="A32" i="49"/>
  <c r="A28" i="49"/>
  <c r="A27" i="49"/>
  <c r="A23" i="49"/>
  <c r="A22" i="49"/>
  <c r="A21" i="49"/>
  <c r="A15" i="49"/>
  <c r="A14" i="49"/>
  <c r="A10" i="49"/>
  <c r="A9" i="49"/>
  <c r="C18" i="49"/>
  <c r="P18" i="49" s="1"/>
  <c r="Q18" i="49" s="1"/>
  <c r="E31" i="41"/>
  <c r="E31" i="46" s="1"/>
  <c r="P36" i="46"/>
  <c r="P113" i="46"/>
  <c r="P115" i="46"/>
  <c r="C90" i="46"/>
  <c r="C14" i="46"/>
  <c r="Q14" i="46" s="1"/>
  <c r="C15" i="46"/>
  <c r="C16" i="46"/>
  <c r="C25" i="46"/>
  <c r="C26" i="46"/>
  <c r="C29" i="46"/>
  <c r="C30" i="46"/>
  <c r="C31" i="46"/>
  <c r="C36" i="46"/>
  <c r="C41" i="46"/>
  <c r="C42" i="46"/>
  <c r="C43" i="46"/>
  <c r="C44" i="46"/>
  <c r="C45" i="46"/>
  <c r="C46" i="46"/>
  <c r="C47" i="46"/>
  <c r="C48" i="46"/>
  <c r="C49" i="46"/>
  <c r="C53" i="46"/>
  <c r="C54" i="46"/>
  <c r="C55" i="46"/>
  <c r="C56" i="46"/>
  <c r="C57" i="46"/>
  <c r="C61" i="46"/>
  <c r="C69" i="46"/>
  <c r="C70" i="46"/>
  <c r="C74" i="46"/>
  <c r="C75" i="46"/>
  <c r="C76" i="46"/>
  <c r="C84" i="46"/>
  <c r="C85" i="46"/>
  <c r="C86" i="46"/>
  <c r="C91" i="46"/>
  <c r="C92" i="46"/>
  <c r="C100" i="46"/>
  <c r="C104" i="46"/>
  <c r="C105" i="46"/>
  <c r="C109" i="46"/>
  <c r="C113" i="46"/>
  <c r="C114" i="46"/>
  <c r="C115" i="46"/>
  <c r="C123" i="46"/>
  <c r="D11" i="3"/>
  <c r="E19" i="61" l="1"/>
  <c r="E12" i="57"/>
  <c r="H79" i="46"/>
  <c r="G29" i="49" s="1"/>
  <c r="E130" i="55"/>
  <c r="H130" i="46" s="1"/>
  <c r="G49" i="49" s="1"/>
  <c r="G2" i="55"/>
  <c r="G64" i="46"/>
  <c r="F24" i="49" s="1"/>
  <c r="E129" i="53"/>
  <c r="G34" i="46"/>
  <c r="F16" i="49" s="1"/>
  <c r="G79" i="46"/>
  <c r="F29" i="49" s="1"/>
  <c r="F79" i="46"/>
  <c r="E29" i="49" s="1"/>
  <c r="E130" i="51"/>
  <c r="E129" i="51"/>
  <c r="F128" i="46" s="1"/>
  <c r="E47" i="49" s="1"/>
  <c r="F130" i="46"/>
  <c r="E49" i="49" s="1"/>
  <c r="E130" i="53"/>
  <c r="G130" i="46" s="1"/>
  <c r="P100" i="46"/>
  <c r="Q100" i="46" s="1"/>
  <c r="P75" i="46"/>
  <c r="Q75" i="46" s="1"/>
  <c r="P16" i="46"/>
  <c r="Q16" i="46" s="1"/>
  <c r="P31" i="46"/>
  <c r="P30" i="46"/>
  <c r="Q113" i="46"/>
  <c r="P109" i="46"/>
  <c r="Q109" i="46" s="1"/>
  <c r="P91" i="46"/>
  <c r="Q91" i="46" s="1"/>
  <c r="P76" i="46"/>
  <c r="Q76" i="46" s="1"/>
  <c r="P105" i="46"/>
  <c r="Q105" i="46" s="1"/>
  <c r="P92" i="46"/>
  <c r="Q92" i="46" s="1"/>
  <c r="P26" i="46"/>
  <c r="Q115" i="46"/>
  <c r="P15" i="46"/>
  <c r="Q15" i="46" s="1"/>
  <c r="P114" i="46"/>
  <c r="Q114" i="46" s="1"/>
  <c r="Q36" i="46"/>
  <c r="K19" i="46" l="1"/>
  <c r="A2" i="55"/>
  <c r="F49" i="49"/>
  <c r="A132" i="55"/>
  <c r="E19" i="57"/>
  <c r="E131" i="55"/>
  <c r="A1" i="51"/>
  <c r="A1" i="55"/>
  <c r="G128" i="46"/>
  <c r="A1" i="53"/>
  <c r="A132" i="51"/>
  <c r="E131" i="51"/>
  <c r="E11" i="51" s="1"/>
  <c r="F11" i="46" s="1"/>
  <c r="A2" i="51"/>
  <c r="G2" i="51"/>
  <c r="E131" i="53"/>
  <c r="G2" i="53"/>
  <c r="A132" i="53"/>
  <c r="A2" i="53"/>
  <c r="D20" i="44"/>
  <c r="J11" i="49" l="1"/>
  <c r="J129" i="46"/>
  <c r="I129" i="46"/>
  <c r="E11" i="55"/>
  <c r="H132" i="46"/>
  <c r="G51" i="49" s="1"/>
  <c r="F47" i="49"/>
  <c r="E11" i="53"/>
  <c r="G132" i="46"/>
  <c r="F132" i="46"/>
  <c r="E12" i="51"/>
  <c r="F12" i="46" s="1"/>
  <c r="E9" i="49" s="1"/>
  <c r="E32" i="41"/>
  <c r="E32" i="46" s="1"/>
  <c r="F31" i="3"/>
  <c r="D31" i="41" s="1"/>
  <c r="F26" i="3"/>
  <c r="D26" i="41" s="1"/>
  <c r="F26" i="41" s="1"/>
  <c r="D26" i="51" s="1"/>
  <c r="F26" i="51" s="1"/>
  <c r="E32" i="3"/>
  <c r="D32" i="46" s="1"/>
  <c r="C15" i="49" s="1"/>
  <c r="D31" i="3"/>
  <c r="D26" i="3"/>
  <c r="C32" i="43"/>
  <c r="C32" i="46" s="1"/>
  <c r="B15" i="49" s="1"/>
  <c r="C27" i="43"/>
  <c r="E43" i="41"/>
  <c r="E49" i="41"/>
  <c r="E48" i="41"/>
  <c r="E47" i="41"/>
  <c r="E46" i="41"/>
  <c r="E45" i="41"/>
  <c r="E44" i="41"/>
  <c r="E104" i="41"/>
  <c r="E93" i="41"/>
  <c r="E93" i="46" s="1"/>
  <c r="D33" i="49" s="1"/>
  <c r="D123" i="3"/>
  <c r="D115" i="3"/>
  <c r="D114" i="3"/>
  <c r="D113" i="3"/>
  <c r="D109" i="3"/>
  <c r="D105" i="3"/>
  <c r="F105" i="3" s="1"/>
  <c r="D105" i="41" s="1"/>
  <c r="F105" i="41" s="1"/>
  <c r="D105" i="51" s="1"/>
  <c r="F105" i="51" s="1"/>
  <c r="D104" i="3"/>
  <c r="D92" i="3"/>
  <c r="F92" i="3" s="1"/>
  <c r="D92" i="41" s="1"/>
  <c r="F92" i="41" s="1"/>
  <c r="D92" i="51" s="1"/>
  <c r="F92" i="51" s="1"/>
  <c r="F51" i="49" l="1"/>
  <c r="F92" i="55"/>
  <c r="D92" i="53"/>
  <c r="F92" i="53" s="1"/>
  <c r="F26" i="55"/>
  <c r="D26" i="53"/>
  <c r="F26" i="53" s="1"/>
  <c r="E44" i="46"/>
  <c r="F105" i="55"/>
  <c r="D105" i="53"/>
  <c r="F105" i="53" s="1"/>
  <c r="E45" i="46"/>
  <c r="E46" i="46"/>
  <c r="E41" i="46"/>
  <c r="E47" i="46"/>
  <c r="E42" i="46"/>
  <c r="E48" i="46"/>
  <c r="H11" i="46"/>
  <c r="E12" i="55"/>
  <c r="E43" i="46"/>
  <c r="E104" i="46"/>
  <c r="E49" i="46"/>
  <c r="E12" i="53"/>
  <c r="G11" i="46"/>
  <c r="E51" i="49"/>
  <c r="E19" i="51"/>
  <c r="F19" i="46" s="1"/>
  <c r="P32" i="46"/>
  <c r="P15" i="49" s="1"/>
  <c r="C14" i="47" s="1"/>
  <c r="D15" i="49"/>
  <c r="E106" i="41"/>
  <c r="E106" i="46" s="1"/>
  <c r="F31" i="41"/>
  <c r="D31" i="51" s="1"/>
  <c r="F31" i="51" s="1"/>
  <c r="C106" i="43"/>
  <c r="C93" i="43"/>
  <c r="H12" i="46" l="1"/>
  <c r="G9" i="49" s="1"/>
  <c r="E19" i="55"/>
  <c r="C106" i="46"/>
  <c r="B38" i="49" s="1"/>
  <c r="B37" i="47" s="1"/>
  <c r="D106" i="3"/>
  <c r="C93" i="46"/>
  <c r="D93" i="3"/>
  <c r="F31" i="55"/>
  <c r="D31" i="53"/>
  <c r="F31" i="53" s="1"/>
  <c r="G12" i="46"/>
  <c r="F9" i="49" s="1"/>
  <c r="E19" i="53"/>
  <c r="E11" i="49"/>
  <c r="D38" i="49"/>
  <c r="E62" i="44"/>
  <c r="E41" i="44"/>
  <c r="E40" i="44"/>
  <c r="E39" i="44"/>
  <c r="E38" i="44"/>
  <c r="E37" i="44"/>
  <c r="E36" i="44"/>
  <c r="E35" i="44"/>
  <c r="E33" i="44"/>
  <c r="E34" i="44"/>
  <c r="E113" i="44"/>
  <c r="E114" i="44" s="1"/>
  <c r="E97" i="44"/>
  <c r="E82" i="44"/>
  <c r="E85" i="44" s="1"/>
  <c r="E67" i="44"/>
  <c r="E71" i="44" s="1"/>
  <c r="E61" i="44"/>
  <c r="E53" i="44"/>
  <c r="E54" i="44" s="1"/>
  <c r="E49" i="44"/>
  <c r="E48" i="44"/>
  <c r="E47" i="44"/>
  <c r="E46" i="44"/>
  <c r="E45" i="44"/>
  <c r="E19" i="44"/>
  <c r="E20" i="44" s="1"/>
  <c r="D116" i="44"/>
  <c r="D49" i="44"/>
  <c r="D113" i="44"/>
  <c r="D105" i="44"/>
  <c r="F105" i="44" s="1"/>
  <c r="D101" i="44"/>
  <c r="F101" i="44" s="1"/>
  <c r="D97" i="44"/>
  <c r="D93" i="44"/>
  <c r="D92" i="44"/>
  <c r="D84" i="44"/>
  <c r="D83" i="44"/>
  <c r="D82" i="44"/>
  <c r="D78" i="44"/>
  <c r="F78" i="44" s="1"/>
  <c r="D70" i="44"/>
  <c r="F70" i="44" s="1"/>
  <c r="D69" i="44"/>
  <c r="F69" i="44" s="1"/>
  <c r="D68" i="44"/>
  <c r="F68" i="44" s="1"/>
  <c r="D67" i="44"/>
  <c r="D63" i="44"/>
  <c r="F63" i="44" s="1"/>
  <c r="D62" i="44"/>
  <c r="D61" i="44"/>
  <c r="D53" i="44"/>
  <c r="D46" i="44"/>
  <c r="D47" i="44"/>
  <c r="D48" i="44"/>
  <c r="D45" i="44"/>
  <c r="D34" i="44"/>
  <c r="D35" i="44"/>
  <c r="D36" i="44"/>
  <c r="D37" i="44"/>
  <c r="D38" i="44"/>
  <c r="D39" i="44"/>
  <c r="D40" i="44"/>
  <c r="D41" i="44"/>
  <c r="D33" i="44"/>
  <c r="D71" i="44"/>
  <c r="D54" i="44"/>
  <c r="D50" i="44"/>
  <c r="D42" i="44"/>
  <c r="D23" i="44"/>
  <c r="F23" i="44"/>
  <c r="D11" i="44"/>
  <c r="F84" i="44"/>
  <c r="F46" i="44"/>
  <c r="C71" i="45"/>
  <c r="C64" i="45"/>
  <c r="C73" i="45" s="1"/>
  <c r="D73" i="44" s="1"/>
  <c r="C20" i="45"/>
  <c r="C114" i="45"/>
  <c r="C116" i="45" s="1"/>
  <c r="C106" i="45"/>
  <c r="D106" i="44" s="1"/>
  <c r="C102" i="45"/>
  <c r="D102" i="44" s="1"/>
  <c r="C98" i="45"/>
  <c r="D98" i="44" s="1"/>
  <c r="C94" i="45"/>
  <c r="D94" i="44" s="1"/>
  <c r="C85" i="45"/>
  <c r="D85" i="44" s="1"/>
  <c r="C79" i="45"/>
  <c r="D79" i="44" s="1"/>
  <c r="C54" i="45"/>
  <c r="C50" i="45"/>
  <c r="C42" i="45"/>
  <c r="C56" i="45" s="1"/>
  <c r="D56" i="44" s="1"/>
  <c r="C24" i="45"/>
  <c r="D24" i="44" s="1"/>
  <c r="C12" i="45"/>
  <c r="C14" i="45" s="1"/>
  <c r="D14" i="44" s="1"/>
  <c r="E106" i="44"/>
  <c r="E102" i="44"/>
  <c r="E98" i="44"/>
  <c r="E94" i="44"/>
  <c r="F92" i="44"/>
  <c r="E79" i="44"/>
  <c r="E24" i="44"/>
  <c r="D64" i="44" l="1"/>
  <c r="D114" i="44"/>
  <c r="F40" i="44"/>
  <c r="B33" i="49"/>
  <c r="B32" i="47" s="1"/>
  <c r="H19" i="46"/>
  <c r="G11" i="49" s="1"/>
  <c r="F79" i="44"/>
  <c r="G19" i="46"/>
  <c r="D12" i="44"/>
  <c r="F67" i="44"/>
  <c r="F47" i="44"/>
  <c r="F37" i="44"/>
  <c r="F41" i="44"/>
  <c r="F33" i="44"/>
  <c r="F38" i="44"/>
  <c r="F61" i="44"/>
  <c r="F49" i="44"/>
  <c r="F24" i="44"/>
  <c r="F54" i="44"/>
  <c r="F48" i="44"/>
  <c r="F35" i="44"/>
  <c r="F39" i="44"/>
  <c r="F36" i="44"/>
  <c r="F45" i="44"/>
  <c r="F34" i="44"/>
  <c r="F106" i="44"/>
  <c r="F71" i="44"/>
  <c r="F102" i="44"/>
  <c r="F19" i="44"/>
  <c r="E64" i="44"/>
  <c r="E73" i="44" s="1"/>
  <c r="F73" i="44" s="1"/>
  <c r="F62" i="44"/>
  <c r="E42" i="44"/>
  <c r="F42" i="44" s="1"/>
  <c r="F82" i="44"/>
  <c r="E108" i="44"/>
  <c r="F108" i="44" s="1"/>
  <c r="C26" i="45"/>
  <c r="C87" i="45"/>
  <c r="D87" i="44" s="1"/>
  <c r="C108" i="45"/>
  <c r="D108" i="44" s="1"/>
  <c r="F98" i="44"/>
  <c r="E26" i="44"/>
  <c r="F20" i="44"/>
  <c r="E87" i="44"/>
  <c r="F87" i="44" s="1"/>
  <c r="F85" i="44"/>
  <c r="E116" i="44"/>
  <c r="F116" i="44" s="1"/>
  <c r="F114" i="44"/>
  <c r="E50" i="44"/>
  <c r="F50" i="44" s="1"/>
  <c r="F94" i="44"/>
  <c r="F97" i="44"/>
  <c r="F113" i="44"/>
  <c r="F53" i="44"/>
  <c r="E86" i="41"/>
  <c r="E85" i="41"/>
  <c r="E84" i="41"/>
  <c r="E123" i="41"/>
  <c r="E123" i="46" s="1"/>
  <c r="E74" i="41"/>
  <c r="E70" i="41"/>
  <c r="E70" i="46" s="1"/>
  <c r="E69" i="41"/>
  <c r="E61" i="41"/>
  <c r="E61" i="46" s="1"/>
  <c r="E57" i="41"/>
  <c r="E56" i="41"/>
  <c r="E55" i="41"/>
  <c r="E54" i="41"/>
  <c r="E53" i="41"/>
  <c r="E25" i="41"/>
  <c r="E24" i="41"/>
  <c r="E24" i="46" s="1"/>
  <c r="E116" i="41"/>
  <c r="E116" i="46" s="1"/>
  <c r="D40" i="49" s="1"/>
  <c r="E110" i="41"/>
  <c r="E110" i="46" s="1"/>
  <c r="D39" i="49" s="1"/>
  <c r="E101" i="41"/>
  <c r="E101" i="46" s="1"/>
  <c r="D37" i="49" s="1"/>
  <c r="E17" i="41"/>
  <c r="E17" i="46" s="1"/>
  <c r="E69" i="46" l="1"/>
  <c r="E57" i="46"/>
  <c r="C119" i="45"/>
  <c r="D26" i="44"/>
  <c r="F26" i="44" s="1"/>
  <c r="E74" i="46"/>
  <c r="E53" i="46"/>
  <c r="E86" i="46"/>
  <c r="P86" i="46" s="1"/>
  <c r="Q86" i="46" s="1"/>
  <c r="E55" i="46"/>
  <c r="E84" i="46"/>
  <c r="P84" i="46" s="1"/>
  <c r="Q84" i="46" s="1"/>
  <c r="E25" i="46"/>
  <c r="E54" i="46"/>
  <c r="D10" i="49"/>
  <c r="P17" i="46"/>
  <c r="P10" i="49" s="1"/>
  <c r="C7" i="47" s="1"/>
  <c r="E56" i="46"/>
  <c r="E85" i="46"/>
  <c r="P85" i="46" s="1"/>
  <c r="Q85" i="46" s="1"/>
  <c r="F11" i="49"/>
  <c r="E71" i="41"/>
  <c r="E71" i="46" s="1"/>
  <c r="E124" i="41"/>
  <c r="E124" i="46" s="1"/>
  <c r="E62" i="41"/>
  <c r="E62" i="46" s="1"/>
  <c r="E27" i="41"/>
  <c r="E27" i="46" s="1"/>
  <c r="E118" i="41"/>
  <c r="E118" i="46" s="1"/>
  <c r="E50" i="41"/>
  <c r="E50" i="46" s="1"/>
  <c r="F64" i="44"/>
  <c r="E56" i="44"/>
  <c r="F56" i="44" s="1"/>
  <c r="C120" i="45"/>
  <c r="E119" i="44"/>
  <c r="E87" i="41"/>
  <c r="E87" i="46" s="1"/>
  <c r="E58" i="41"/>
  <c r="E58" i="46" s="1"/>
  <c r="E77" i="41"/>
  <c r="E77" i="46" s="1"/>
  <c r="E70" i="3"/>
  <c r="D70" i="46" s="1"/>
  <c r="P70" i="46" s="1"/>
  <c r="Q70" i="46" s="1"/>
  <c r="E74" i="3"/>
  <c r="D74" i="46" s="1"/>
  <c r="P74" i="46" s="1"/>
  <c r="Q74" i="46" s="1"/>
  <c r="E53" i="3"/>
  <c r="D53" i="46" s="1"/>
  <c r="P53" i="46" s="1"/>
  <c r="Q53" i="46" s="1"/>
  <c r="C121" i="45" l="1"/>
  <c r="D23" i="49"/>
  <c r="D44" i="49"/>
  <c r="D32" i="49"/>
  <c r="D14" i="49"/>
  <c r="D21" i="49"/>
  <c r="D22" i="49"/>
  <c r="D41" i="49"/>
  <c r="D27" i="49"/>
  <c r="E126" i="41"/>
  <c r="E126" i="46" s="1"/>
  <c r="E79" i="41"/>
  <c r="E79" i="46" s="1"/>
  <c r="E34" i="41"/>
  <c r="E120" i="44"/>
  <c r="E95" i="41"/>
  <c r="E95" i="46" s="1"/>
  <c r="E64" i="41"/>
  <c r="E64" i="46" s="1"/>
  <c r="E49" i="3"/>
  <c r="D49" i="46" s="1"/>
  <c r="P49" i="46" s="1"/>
  <c r="Q49" i="46" s="1"/>
  <c r="E48" i="3"/>
  <c r="D48" i="46" s="1"/>
  <c r="P48" i="46" s="1"/>
  <c r="Q48" i="46" s="1"/>
  <c r="E47" i="3"/>
  <c r="D47" i="46" s="1"/>
  <c r="P47" i="46" s="1"/>
  <c r="Q47" i="46" s="1"/>
  <c r="E46" i="3"/>
  <c r="D46" i="46" s="1"/>
  <c r="P46" i="46" s="1"/>
  <c r="Q46" i="46" s="1"/>
  <c r="E45" i="3"/>
  <c r="D45" i="46" s="1"/>
  <c r="P45" i="46" s="1"/>
  <c r="Q45" i="46" s="1"/>
  <c r="E44" i="3"/>
  <c r="D44" i="46" s="1"/>
  <c r="P44" i="46" s="1"/>
  <c r="Q44" i="46" s="1"/>
  <c r="E43" i="3"/>
  <c r="D43" i="46" s="1"/>
  <c r="P43" i="46" s="1"/>
  <c r="Q43" i="46" s="1"/>
  <c r="E42" i="3"/>
  <c r="D42" i="46" s="1"/>
  <c r="P42" i="46" s="1"/>
  <c r="Q42" i="46" s="1"/>
  <c r="E41" i="3"/>
  <c r="D41" i="46" s="1"/>
  <c r="P41" i="46" s="1"/>
  <c r="Q41" i="46" s="1"/>
  <c r="E25" i="3"/>
  <c r="D25" i="46" s="1"/>
  <c r="P25" i="46" s="1"/>
  <c r="E90" i="3"/>
  <c r="E61" i="3"/>
  <c r="D61" i="46" s="1"/>
  <c r="P61" i="46" s="1"/>
  <c r="Q61" i="46" s="1"/>
  <c r="E129" i="41" l="1"/>
  <c r="E128" i="46" s="1"/>
  <c r="D47" i="49" s="1"/>
  <c r="E34" i="46"/>
  <c r="D90" i="46"/>
  <c r="P90" i="46" s="1"/>
  <c r="Q90" i="46" s="1"/>
  <c r="E93" i="3"/>
  <c r="D24" i="49"/>
  <c r="D34" i="49"/>
  <c r="D29" i="49"/>
  <c r="D28" i="49"/>
  <c r="D45" i="49"/>
  <c r="A2" i="44"/>
  <c r="A122" i="44"/>
  <c r="A1" i="44"/>
  <c r="E121" i="44"/>
  <c r="E11" i="44" s="1"/>
  <c r="E12" i="44" s="1"/>
  <c r="E14" i="44" s="1"/>
  <c r="G2" i="44"/>
  <c r="E130" i="41"/>
  <c r="E130" i="46" s="1"/>
  <c r="D91" i="3"/>
  <c r="D90" i="3"/>
  <c r="D86" i="3"/>
  <c r="D85" i="3"/>
  <c r="D84" i="3"/>
  <c r="D76" i="3"/>
  <c r="D75" i="3"/>
  <c r="D74" i="3"/>
  <c r="D70" i="3"/>
  <c r="D69" i="3"/>
  <c r="D62" i="3"/>
  <c r="D61" i="3"/>
  <c r="D54" i="3"/>
  <c r="D55" i="3"/>
  <c r="D56" i="3"/>
  <c r="D57" i="3"/>
  <c r="D53" i="3"/>
  <c r="D42" i="3"/>
  <c r="D43" i="3"/>
  <c r="D44" i="3"/>
  <c r="D45" i="3"/>
  <c r="D46" i="3"/>
  <c r="D47" i="3"/>
  <c r="D48" i="3"/>
  <c r="D49" i="3"/>
  <c r="D41" i="3"/>
  <c r="D25" i="3"/>
  <c r="D27" i="3" s="1"/>
  <c r="D30" i="3"/>
  <c r="D32" i="3"/>
  <c r="D16" i="3"/>
  <c r="D15" i="3"/>
  <c r="C124" i="43"/>
  <c r="C116" i="43"/>
  <c r="C110" i="43"/>
  <c r="C101" i="43"/>
  <c r="C87" i="43"/>
  <c r="C77" i="43"/>
  <c r="C77" i="46" s="1"/>
  <c r="B28" i="49" s="1"/>
  <c r="B27" i="47" s="1"/>
  <c r="C71" i="43"/>
  <c r="C62" i="43"/>
  <c r="C62" i="46" s="1"/>
  <c r="B23" i="49" s="1"/>
  <c r="B22" i="47" s="1"/>
  <c r="C58" i="43"/>
  <c r="C50" i="43"/>
  <c r="C50" i="46" s="1"/>
  <c r="B21" i="49" s="1"/>
  <c r="B20" i="47" s="1"/>
  <c r="C17" i="43"/>
  <c r="C12" i="43"/>
  <c r="D49" i="49" l="1"/>
  <c r="L131" i="46"/>
  <c r="I131" i="46"/>
  <c r="D50" i="3"/>
  <c r="D58" i="3"/>
  <c r="C58" i="46"/>
  <c r="D93" i="46"/>
  <c r="F93" i="3"/>
  <c r="D93" i="41" s="1"/>
  <c r="F11" i="44"/>
  <c r="C110" i="46"/>
  <c r="D110" i="3"/>
  <c r="D71" i="3"/>
  <c r="C71" i="46"/>
  <c r="D87" i="3"/>
  <c r="C87" i="46"/>
  <c r="D77" i="3"/>
  <c r="D17" i="3"/>
  <c r="C17" i="46"/>
  <c r="C116" i="46"/>
  <c r="D116" i="3"/>
  <c r="C126" i="43"/>
  <c r="C124" i="46"/>
  <c r="D124" i="3"/>
  <c r="D12" i="3"/>
  <c r="C12" i="46"/>
  <c r="B9" i="49" s="1"/>
  <c r="B6" i="47" s="1"/>
  <c r="C101" i="46"/>
  <c r="D101" i="3"/>
  <c r="D16" i="49"/>
  <c r="F14" i="44"/>
  <c r="F12" i="44"/>
  <c r="A2" i="41"/>
  <c r="A132" i="41"/>
  <c r="G2" i="41"/>
  <c r="A1" i="41"/>
  <c r="E131" i="41"/>
  <c r="C79" i="43"/>
  <c r="C118" i="43"/>
  <c r="C64" i="43"/>
  <c r="C64" i="46" s="1"/>
  <c r="B24" i="49" s="1"/>
  <c r="B23" i="47" s="1"/>
  <c r="C95" i="43"/>
  <c r="C34" i="43"/>
  <c r="C19" i="43"/>
  <c r="Q17" i="46" l="1"/>
  <c r="Q10" i="49" s="1"/>
  <c r="E7" i="47" s="1"/>
  <c r="B10" i="49"/>
  <c r="B7" i="47" s="1"/>
  <c r="B37" i="49"/>
  <c r="B36" i="47" s="1"/>
  <c r="D79" i="3"/>
  <c r="C79" i="46"/>
  <c r="E11" i="41"/>
  <c r="E132" i="46"/>
  <c r="B32" i="49"/>
  <c r="B31" i="47" s="1"/>
  <c r="D118" i="3"/>
  <c r="C118" i="46"/>
  <c r="B44" i="49"/>
  <c r="B43" i="47" s="1"/>
  <c r="P93" i="46"/>
  <c r="C33" i="49"/>
  <c r="C126" i="46"/>
  <c r="D126" i="3"/>
  <c r="B27" i="49"/>
  <c r="B26" i="47" s="1"/>
  <c r="B22" i="49"/>
  <c r="B21" i="47" s="1"/>
  <c r="B39" i="49"/>
  <c r="B38" i="47" s="1"/>
  <c r="D19" i="3"/>
  <c r="C19" i="46"/>
  <c r="C95" i="46"/>
  <c r="D95" i="3"/>
  <c r="B40" i="49"/>
  <c r="B39" i="47" s="1"/>
  <c r="C130" i="43"/>
  <c r="D64" i="3"/>
  <c r="C129" i="43"/>
  <c r="E24" i="3"/>
  <c r="E116" i="3"/>
  <c r="D116" i="46" s="1"/>
  <c r="E110" i="3"/>
  <c r="D110" i="46" s="1"/>
  <c r="E101" i="3"/>
  <c r="D101" i="46" s="1"/>
  <c r="E87" i="3"/>
  <c r="E77" i="3"/>
  <c r="D77" i="46" s="1"/>
  <c r="E62" i="3"/>
  <c r="D62" i="46" s="1"/>
  <c r="E50" i="3"/>
  <c r="D50" i="46" s="1"/>
  <c r="E17" i="3"/>
  <c r="E123" i="3"/>
  <c r="E104" i="3"/>
  <c r="E69" i="3"/>
  <c r="F16" i="3"/>
  <c r="D16" i="41" s="1"/>
  <c r="F16" i="41" s="1"/>
  <c r="D16" i="51" s="1"/>
  <c r="F16" i="51" s="1"/>
  <c r="D51" i="49" l="1"/>
  <c r="L133" i="46"/>
  <c r="I133" i="46"/>
  <c r="E124" i="3"/>
  <c r="D123" i="46"/>
  <c r="P123" i="46" s="1"/>
  <c r="Q123" i="46" s="1"/>
  <c r="P33" i="49"/>
  <c r="C32" i="47" s="1"/>
  <c r="D32" i="47" s="1"/>
  <c r="Q93" i="46"/>
  <c r="Q33" i="49" s="1"/>
  <c r="E32" i="47" s="1"/>
  <c r="C21" i="49"/>
  <c r="P50" i="46"/>
  <c r="F95" i="3"/>
  <c r="D24" i="46"/>
  <c r="P24" i="46" s="1"/>
  <c r="E27" i="3"/>
  <c r="D27" i="46" s="1"/>
  <c r="E11" i="46"/>
  <c r="B29" i="49"/>
  <c r="B28" i="47" s="1"/>
  <c r="C23" i="49"/>
  <c r="P62" i="46"/>
  <c r="C28" i="49"/>
  <c r="P77" i="46"/>
  <c r="B34" i="49"/>
  <c r="B33" i="47" s="1"/>
  <c r="B41" i="49"/>
  <c r="B40" i="47" s="1"/>
  <c r="F16" i="55"/>
  <c r="D16" i="53"/>
  <c r="F16" i="53" s="1"/>
  <c r="D87" i="46"/>
  <c r="E95" i="3"/>
  <c r="D95" i="46" s="1"/>
  <c r="B11" i="49"/>
  <c r="B8" i="47" s="1"/>
  <c r="E71" i="3"/>
  <c r="D71" i="46" s="1"/>
  <c r="D69" i="46"/>
  <c r="P69" i="46" s="1"/>
  <c r="Q69" i="46" s="1"/>
  <c r="C37" i="49"/>
  <c r="P101" i="46"/>
  <c r="E12" i="41"/>
  <c r="E12" i="46" s="1"/>
  <c r="D9" i="49" s="1"/>
  <c r="C40" i="49"/>
  <c r="P116" i="46"/>
  <c r="D104" i="46"/>
  <c r="P104" i="46" s="1"/>
  <c r="Q104" i="46" s="1"/>
  <c r="E106" i="3"/>
  <c r="P110" i="46"/>
  <c r="C39" i="49"/>
  <c r="B45" i="49"/>
  <c r="B44" i="47" s="1"/>
  <c r="C131" i="43"/>
  <c r="E19" i="41"/>
  <c r="E19" i="46" s="1"/>
  <c r="E79" i="3"/>
  <c r="D79" i="46" s="1"/>
  <c r="L134" i="46" l="1"/>
  <c r="I134" i="46"/>
  <c r="C29" i="49"/>
  <c r="P79" i="46"/>
  <c r="P21" i="49"/>
  <c r="C20" i="47" s="1"/>
  <c r="D20" i="47" s="1"/>
  <c r="Q50" i="46"/>
  <c r="Q21" i="49" s="1"/>
  <c r="E20" i="47" s="1"/>
  <c r="P39" i="49"/>
  <c r="C38" i="47" s="1"/>
  <c r="D38" i="47" s="1"/>
  <c r="Q110" i="46"/>
  <c r="Q39" i="49" s="1"/>
  <c r="E38" i="47" s="1"/>
  <c r="P23" i="49"/>
  <c r="C22" i="47" s="1"/>
  <c r="D22" i="47" s="1"/>
  <c r="Q62" i="46"/>
  <c r="Q23" i="49" s="1"/>
  <c r="E22" i="47" s="1"/>
  <c r="C32" i="49"/>
  <c r="P87" i="46"/>
  <c r="P40" i="49"/>
  <c r="C39" i="47" s="1"/>
  <c r="D39" i="47" s="1"/>
  <c r="Q116" i="46"/>
  <c r="Q40" i="49" s="1"/>
  <c r="E39" i="47" s="1"/>
  <c r="C27" i="49"/>
  <c r="P71" i="46"/>
  <c r="P37" i="49"/>
  <c r="C36" i="47" s="1"/>
  <c r="D36" i="47" s="1"/>
  <c r="Q101" i="46"/>
  <c r="Q37" i="49" s="1"/>
  <c r="E36" i="47" s="1"/>
  <c r="C34" i="49"/>
  <c r="P95" i="46"/>
  <c r="Q77" i="46"/>
  <c r="Q28" i="49" s="1"/>
  <c r="E27" i="47" s="1"/>
  <c r="P28" i="49"/>
  <c r="C27" i="47" s="1"/>
  <c r="D27" i="47" s="1"/>
  <c r="C14" i="49"/>
  <c r="P27" i="46"/>
  <c r="P14" i="49" s="1"/>
  <c r="C13" i="47" s="1"/>
  <c r="E126" i="3"/>
  <c r="D126" i="46" s="1"/>
  <c r="D124" i="46"/>
  <c r="D11" i="49"/>
  <c r="F15" i="3"/>
  <c r="D15" i="41" s="1"/>
  <c r="F15" i="41" s="1"/>
  <c r="D15" i="51" s="1"/>
  <c r="F15" i="51" s="1"/>
  <c r="F24" i="3"/>
  <c r="D24" i="41" s="1"/>
  <c r="F24" i="41" s="1"/>
  <c r="D24" i="51" s="1"/>
  <c r="F24" i="51" s="1"/>
  <c r="F25" i="3"/>
  <c r="D25" i="41" s="1"/>
  <c r="F25" i="41" s="1"/>
  <c r="D25" i="51" s="1"/>
  <c r="F25" i="51" s="1"/>
  <c r="F85" i="3"/>
  <c r="D85" i="41" s="1"/>
  <c r="F85" i="41" s="1"/>
  <c r="D85" i="51" s="1"/>
  <c r="F85" i="51" s="1"/>
  <c r="F84" i="3"/>
  <c r="D84" i="41" s="1"/>
  <c r="F84" i="41" s="1"/>
  <c r="D84" i="51" s="1"/>
  <c r="F84" i="51" s="1"/>
  <c r="E57" i="3"/>
  <c r="E56" i="3"/>
  <c r="E55" i="3"/>
  <c r="E54" i="3"/>
  <c r="D54" i="46" s="1"/>
  <c r="P54" i="46" s="1"/>
  <c r="Q54" i="46" s="1"/>
  <c r="F123" i="3"/>
  <c r="D123" i="41" s="1"/>
  <c r="F123" i="41" s="1"/>
  <c r="D123" i="51" s="1"/>
  <c r="F123" i="51" s="1"/>
  <c r="F115" i="3"/>
  <c r="D115" i="41" s="1"/>
  <c r="F114" i="3"/>
  <c r="D114" i="41" s="1"/>
  <c r="F114" i="41" s="1"/>
  <c r="D114" i="51" s="1"/>
  <c r="F114" i="51" s="1"/>
  <c r="F113" i="3"/>
  <c r="D113" i="41" s="1"/>
  <c r="F113" i="41" s="1"/>
  <c r="D113" i="51" s="1"/>
  <c r="F113" i="51" s="1"/>
  <c r="F109" i="3"/>
  <c r="D109" i="41" s="1"/>
  <c r="F109" i="41" s="1"/>
  <c r="D109" i="51" s="1"/>
  <c r="F109" i="51" s="1"/>
  <c r="F104" i="3"/>
  <c r="D104" i="41" s="1"/>
  <c r="F104" i="41" s="1"/>
  <c r="D104" i="51" s="1"/>
  <c r="F104" i="51" s="1"/>
  <c r="F100" i="3"/>
  <c r="D100" i="41" s="1"/>
  <c r="F100" i="41" s="1"/>
  <c r="D100" i="51" s="1"/>
  <c r="F100" i="51" s="1"/>
  <c r="F91" i="3"/>
  <c r="D91" i="41" s="1"/>
  <c r="F91" i="41" s="1"/>
  <c r="D91" i="51" s="1"/>
  <c r="F91" i="51" s="1"/>
  <c r="F90" i="3"/>
  <c r="D90" i="41" s="1"/>
  <c r="F90" i="41" s="1"/>
  <c r="D90" i="51" s="1"/>
  <c r="F90" i="51" s="1"/>
  <c r="F86" i="3"/>
  <c r="D86" i="41" s="1"/>
  <c r="F86" i="41" s="1"/>
  <c r="D86" i="51" s="1"/>
  <c r="F86" i="51" s="1"/>
  <c r="F76" i="3"/>
  <c r="D76" i="41" s="1"/>
  <c r="F76" i="41" s="1"/>
  <c r="D76" i="51" s="1"/>
  <c r="F76" i="51" s="1"/>
  <c r="F75" i="3"/>
  <c r="D75" i="41" s="1"/>
  <c r="F75" i="41" s="1"/>
  <c r="D75" i="51" s="1"/>
  <c r="F75" i="51" s="1"/>
  <c r="F74" i="3"/>
  <c r="D74" i="41" s="1"/>
  <c r="F74" i="41" s="1"/>
  <c r="D74" i="51" s="1"/>
  <c r="F74" i="51" s="1"/>
  <c r="F70" i="3"/>
  <c r="D70" i="41" s="1"/>
  <c r="F70" i="41" s="1"/>
  <c r="D70" i="51" s="1"/>
  <c r="F70" i="51" s="1"/>
  <c r="F69" i="3"/>
  <c r="D69" i="41" s="1"/>
  <c r="F69" i="41" s="1"/>
  <c r="D69" i="51" s="1"/>
  <c r="F69" i="51" s="1"/>
  <c r="F61" i="3"/>
  <c r="D61" i="41" s="1"/>
  <c r="F61" i="41" s="1"/>
  <c r="D61" i="51" s="1"/>
  <c r="F61" i="51" s="1"/>
  <c r="F49" i="3"/>
  <c r="D49" i="41" s="1"/>
  <c r="F49" i="41" s="1"/>
  <c r="D49" i="51" s="1"/>
  <c r="F49" i="51" s="1"/>
  <c r="F48" i="3"/>
  <c r="D48" i="41" s="1"/>
  <c r="F48" i="41" s="1"/>
  <c r="D48" i="51" s="1"/>
  <c r="F48" i="51" s="1"/>
  <c r="F47" i="3"/>
  <c r="D47" i="41" s="1"/>
  <c r="F47" i="41" s="1"/>
  <c r="D47" i="51" s="1"/>
  <c r="F47" i="51" s="1"/>
  <c r="F46" i="3"/>
  <c r="D46" i="41" s="1"/>
  <c r="F46" i="41" s="1"/>
  <c r="D46" i="51" s="1"/>
  <c r="F46" i="51" s="1"/>
  <c r="F45" i="3"/>
  <c r="D45" i="41" s="1"/>
  <c r="F45" i="41" s="1"/>
  <c r="D45" i="51" s="1"/>
  <c r="F45" i="51" s="1"/>
  <c r="F44" i="3"/>
  <c r="D44" i="41" s="1"/>
  <c r="F44" i="41" s="1"/>
  <c r="D44" i="51" s="1"/>
  <c r="F44" i="51" s="1"/>
  <c r="F43" i="3"/>
  <c r="D43" i="41" s="1"/>
  <c r="F43" i="41" s="1"/>
  <c r="D43" i="51" s="1"/>
  <c r="F43" i="51" s="1"/>
  <c r="F42" i="3"/>
  <c r="D42" i="41" s="1"/>
  <c r="F42" i="41" s="1"/>
  <c r="D42" i="51" s="1"/>
  <c r="F42" i="51" s="1"/>
  <c r="F41" i="3"/>
  <c r="D41" i="41" s="1"/>
  <c r="F41" i="41" s="1"/>
  <c r="D41" i="51" s="1"/>
  <c r="F41" i="51" s="1"/>
  <c r="E34" i="3"/>
  <c r="F30" i="3"/>
  <c r="D30" i="41" s="1"/>
  <c r="F30" i="41" s="1"/>
  <c r="D30" i="51" s="1"/>
  <c r="F30" i="51" s="1"/>
  <c r="F30" i="55" l="1"/>
  <c r="D30" i="53"/>
  <c r="F30" i="53" s="1"/>
  <c r="D85" i="53"/>
  <c r="F85" i="53" s="1"/>
  <c r="D85" i="55" s="1"/>
  <c r="F85" i="55" s="1"/>
  <c r="C44" i="49"/>
  <c r="P124" i="46"/>
  <c r="E129" i="3"/>
  <c r="D128" i="46" s="1"/>
  <c r="D34" i="46"/>
  <c r="D48" i="53"/>
  <c r="F48" i="53" s="1"/>
  <c r="D48" i="55" s="1"/>
  <c r="F48" i="55" s="1"/>
  <c r="D86" i="53"/>
  <c r="F86" i="53" s="1"/>
  <c r="D86" i="55" s="1"/>
  <c r="F86" i="55" s="1"/>
  <c r="D25" i="53"/>
  <c r="F25" i="53" s="1"/>
  <c r="D25" i="55" s="1"/>
  <c r="F25" i="55" s="1"/>
  <c r="C45" i="49"/>
  <c r="P126" i="46"/>
  <c r="F114" i="55"/>
  <c r="D114" i="53"/>
  <c r="F114" i="53" s="1"/>
  <c r="D49" i="53"/>
  <c r="F49" i="53" s="1"/>
  <c r="D49" i="55" s="1"/>
  <c r="F49" i="55" s="1"/>
  <c r="F90" i="55"/>
  <c r="D90" i="53"/>
  <c r="F90" i="53" s="1"/>
  <c r="D123" i="53"/>
  <c r="F123" i="53" s="1"/>
  <c r="D123" i="55" s="1"/>
  <c r="F123" i="55" s="1"/>
  <c r="D24" i="53"/>
  <c r="F24" i="53" s="1"/>
  <c r="D24" i="55" s="1"/>
  <c r="F24" i="55" s="1"/>
  <c r="P27" i="49"/>
  <c r="C26" i="47" s="1"/>
  <c r="D26" i="47" s="1"/>
  <c r="Q71" i="46"/>
  <c r="Q27" i="49" s="1"/>
  <c r="E26" i="47" s="1"/>
  <c r="D41" i="53"/>
  <c r="F41" i="53" s="1"/>
  <c r="D41" i="55" s="1"/>
  <c r="F41" i="55" s="1"/>
  <c r="F55" i="3"/>
  <c r="D55" i="41" s="1"/>
  <c r="F55" i="41" s="1"/>
  <c r="D55" i="51" s="1"/>
  <c r="F55" i="51" s="1"/>
  <c r="D55" i="46"/>
  <c r="P55" i="46" s="1"/>
  <c r="Q55" i="46" s="1"/>
  <c r="D47" i="53"/>
  <c r="F47" i="53" s="1"/>
  <c r="D47" i="55" s="1"/>
  <c r="F47" i="55" s="1"/>
  <c r="D42" i="53"/>
  <c r="F42" i="53" s="1"/>
  <c r="D42" i="55" s="1"/>
  <c r="F42" i="55" s="1"/>
  <c r="F91" i="55"/>
  <c r="D91" i="53"/>
  <c r="F91" i="53" s="1"/>
  <c r="D69" i="53"/>
  <c r="F69" i="53" s="1"/>
  <c r="D69" i="55" s="1"/>
  <c r="F69" i="55" s="1"/>
  <c r="D70" i="53"/>
  <c r="F70" i="53" s="1"/>
  <c r="D70" i="55" s="1"/>
  <c r="F70" i="55" s="1"/>
  <c r="D104" i="53"/>
  <c r="F104" i="53" s="1"/>
  <c r="D104" i="55" s="1"/>
  <c r="F104" i="55" s="1"/>
  <c r="F56" i="3"/>
  <c r="D56" i="41" s="1"/>
  <c r="F56" i="41" s="1"/>
  <c r="D56" i="51" s="1"/>
  <c r="F56" i="51" s="1"/>
  <c r="D56" i="46"/>
  <c r="P56" i="46" s="1"/>
  <c r="Q56" i="46" s="1"/>
  <c r="D43" i="53"/>
  <c r="F43" i="53" s="1"/>
  <c r="D43" i="55" s="1"/>
  <c r="F43" i="55" s="1"/>
  <c r="F57" i="3"/>
  <c r="D57" i="41" s="1"/>
  <c r="F57" i="41" s="1"/>
  <c r="D57" i="51" s="1"/>
  <c r="F57" i="51" s="1"/>
  <c r="D57" i="46"/>
  <c r="P57" i="46" s="1"/>
  <c r="Q57" i="46" s="1"/>
  <c r="P34" i="49"/>
  <c r="C33" i="47" s="1"/>
  <c r="D33" i="47" s="1"/>
  <c r="Q95" i="46"/>
  <c r="Q34" i="49" s="1"/>
  <c r="E33" i="47" s="1"/>
  <c r="P32" i="49"/>
  <c r="C31" i="47" s="1"/>
  <c r="D31" i="47" s="1"/>
  <c r="Q87" i="46"/>
  <c r="Q32" i="49" s="1"/>
  <c r="E31" i="47" s="1"/>
  <c r="P29" i="49"/>
  <c r="C28" i="47" s="1"/>
  <c r="D28" i="47" s="1"/>
  <c r="Q79" i="46"/>
  <c r="Q29" i="49" s="1"/>
  <c r="E28" i="47" s="1"/>
  <c r="F76" i="55"/>
  <c r="D76" i="53"/>
  <c r="F76" i="53" s="1"/>
  <c r="D61" i="53"/>
  <c r="F61" i="53" s="1"/>
  <c r="D61" i="55" s="1"/>
  <c r="F61" i="55" s="1"/>
  <c r="F15" i="55"/>
  <c r="D15" i="53"/>
  <c r="F15" i="53" s="1"/>
  <c r="F100" i="55"/>
  <c r="D100" i="53"/>
  <c r="F100" i="53" s="1"/>
  <c r="D44" i="53"/>
  <c r="F44" i="53" s="1"/>
  <c r="D44" i="55" s="1"/>
  <c r="F44" i="55" s="1"/>
  <c r="D45" i="53"/>
  <c r="F45" i="53" s="1"/>
  <c r="D45" i="55" s="1"/>
  <c r="F45" i="55" s="1"/>
  <c r="D74" i="53"/>
  <c r="F74" i="53" s="1"/>
  <c r="D74" i="55" s="1"/>
  <c r="F74" i="55" s="1"/>
  <c r="F109" i="55"/>
  <c r="D109" i="53"/>
  <c r="F109" i="53" s="1"/>
  <c r="D46" i="53"/>
  <c r="F46" i="53" s="1"/>
  <c r="D46" i="55" s="1"/>
  <c r="F46" i="55" s="1"/>
  <c r="F75" i="55"/>
  <c r="D75" i="53"/>
  <c r="F75" i="53" s="1"/>
  <c r="F113" i="55"/>
  <c r="D113" i="53"/>
  <c r="F113" i="53" s="1"/>
  <c r="D84" i="53"/>
  <c r="F84" i="53" s="1"/>
  <c r="D84" i="55" s="1"/>
  <c r="F84" i="55" s="1"/>
  <c r="F115" i="41"/>
  <c r="D115" i="51" s="1"/>
  <c r="F115" i="51" s="1"/>
  <c r="F54" i="3"/>
  <c r="D54" i="41" s="1"/>
  <c r="F54" i="41" s="1"/>
  <c r="D54" i="51" s="1"/>
  <c r="F54" i="51" s="1"/>
  <c r="E58" i="3"/>
  <c r="F106" i="3"/>
  <c r="D106" i="41" s="1"/>
  <c r="F106" i="41" s="1"/>
  <c r="D106" i="51" s="1"/>
  <c r="F106" i="51" s="1"/>
  <c r="F17" i="3"/>
  <c r="D17" i="41" s="1"/>
  <c r="F17" i="41" s="1"/>
  <c r="D17" i="51" s="1"/>
  <c r="F17" i="51" s="1"/>
  <c r="F62" i="3"/>
  <c r="D62" i="41" s="1"/>
  <c r="F62" i="41" s="1"/>
  <c r="D62" i="51" s="1"/>
  <c r="F62" i="51" s="1"/>
  <c r="F124" i="3"/>
  <c r="D124" i="41" s="1"/>
  <c r="F124" i="41" s="1"/>
  <c r="D124" i="51" s="1"/>
  <c r="F124" i="51" s="1"/>
  <c r="F71" i="3"/>
  <c r="D71" i="41" s="1"/>
  <c r="F71" i="41" s="1"/>
  <c r="D71" i="51" s="1"/>
  <c r="F71" i="51" s="1"/>
  <c r="F126" i="3"/>
  <c r="D126" i="41" s="1"/>
  <c r="F126" i="41" s="1"/>
  <c r="D126" i="51" s="1"/>
  <c r="F126" i="51" s="1"/>
  <c r="F50" i="3"/>
  <c r="D50" i="41" s="1"/>
  <c r="F50" i="41" s="1"/>
  <c r="D50" i="51" s="1"/>
  <c r="F50" i="51" s="1"/>
  <c r="F101" i="3"/>
  <c r="D101" i="41" s="1"/>
  <c r="F101" i="41" s="1"/>
  <c r="D101" i="51" s="1"/>
  <c r="F101" i="51" s="1"/>
  <c r="F77" i="3"/>
  <c r="D77" i="41" s="1"/>
  <c r="F77" i="41" s="1"/>
  <c r="D77" i="51" s="1"/>
  <c r="F77" i="51" s="1"/>
  <c r="F93" i="41"/>
  <c r="D93" i="51" s="1"/>
  <c r="F93" i="51" s="1"/>
  <c r="F116" i="3"/>
  <c r="D116" i="41" s="1"/>
  <c r="F116" i="41" s="1"/>
  <c r="D116" i="51" s="1"/>
  <c r="F116" i="51" s="1"/>
  <c r="F110" i="3"/>
  <c r="D110" i="41" s="1"/>
  <c r="F110" i="41" s="1"/>
  <c r="D110" i="51" s="1"/>
  <c r="F110" i="51" s="1"/>
  <c r="F32" i="3"/>
  <c r="D32" i="41" s="1"/>
  <c r="F32" i="41" s="1"/>
  <c r="D32" i="51" s="1"/>
  <c r="F32" i="51" s="1"/>
  <c r="E118" i="3"/>
  <c r="D118" i="46" s="1"/>
  <c r="F53" i="3"/>
  <c r="D53" i="41" s="1"/>
  <c r="F53" i="41" s="1"/>
  <c r="D53" i="51" s="1"/>
  <c r="F53" i="51" s="1"/>
  <c r="F75" i="59" l="1"/>
  <c r="D75" i="57"/>
  <c r="F75" i="57" s="1"/>
  <c r="F15" i="59"/>
  <c r="D15" i="57"/>
  <c r="F15" i="57" s="1"/>
  <c r="D43" i="57"/>
  <c r="F43" i="57" s="1"/>
  <c r="D43" i="59" s="1"/>
  <c r="F43" i="59" s="1"/>
  <c r="D43" i="61" s="1"/>
  <c r="F43" i="61" s="1"/>
  <c r="D43" i="63" s="1"/>
  <c r="F43" i="63" s="1"/>
  <c r="D43" i="66" s="1"/>
  <c r="F43" i="66" s="1"/>
  <c r="F69" i="59"/>
  <c r="D69" i="57"/>
  <c r="F69" i="57" s="1"/>
  <c r="F84" i="59"/>
  <c r="D84" i="57"/>
  <c r="F84" i="57" s="1"/>
  <c r="D49" i="57"/>
  <c r="F49" i="57" s="1"/>
  <c r="D49" i="59" s="1"/>
  <c r="F49" i="59" s="1"/>
  <c r="D49" i="61" s="1"/>
  <c r="F49" i="61" s="1"/>
  <c r="D49" i="63" s="1"/>
  <c r="F49" i="63" s="1"/>
  <c r="D49" i="66" s="1"/>
  <c r="F49" i="66" s="1"/>
  <c r="D42" i="57"/>
  <c r="F42" i="57" s="1"/>
  <c r="D42" i="59" s="1"/>
  <c r="F42" i="59" s="1"/>
  <c r="D42" i="61" s="1"/>
  <c r="F42" i="61" s="1"/>
  <c r="D42" i="63" s="1"/>
  <c r="F42" i="63" s="1"/>
  <c r="D42" i="66" s="1"/>
  <c r="F42" i="66" s="1"/>
  <c r="F24" i="59"/>
  <c r="D24" i="57"/>
  <c r="F24" i="57" s="1"/>
  <c r="F74" i="59"/>
  <c r="D74" i="57"/>
  <c r="F74" i="57" s="1"/>
  <c r="D104" i="57"/>
  <c r="F104" i="57" s="1"/>
  <c r="F123" i="59"/>
  <c r="D123" i="57"/>
  <c r="F123" i="57" s="1"/>
  <c r="F25" i="59"/>
  <c r="D25" i="57"/>
  <c r="F25" i="57" s="1"/>
  <c r="F85" i="59"/>
  <c r="D85" i="57"/>
  <c r="F85" i="57" s="1"/>
  <c r="F86" i="59"/>
  <c r="D86" i="57"/>
  <c r="F86" i="57" s="1"/>
  <c r="D41" i="57"/>
  <c r="F41" i="57" s="1"/>
  <c r="D41" i="59" s="1"/>
  <c r="F41" i="59" s="1"/>
  <c r="D41" i="61" s="1"/>
  <c r="F41" i="61" s="1"/>
  <c r="D41" i="63" s="1"/>
  <c r="F41" i="63" s="1"/>
  <c r="D41" i="66" s="1"/>
  <c r="F41" i="66" s="1"/>
  <c r="D44" i="57"/>
  <c r="F44" i="57" s="1"/>
  <c r="D44" i="59" s="1"/>
  <c r="F44" i="59" s="1"/>
  <c r="D44" i="61" s="1"/>
  <c r="F44" i="61" s="1"/>
  <c r="D44" i="63" s="1"/>
  <c r="F44" i="63" s="1"/>
  <c r="D44" i="66" s="1"/>
  <c r="F44" i="66" s="1"/>
  <c r="F47" i="59"/>
  <c r="D47" i="61" s="1"/>
  <c r="F47" i="61" s="1"/>
  <c r="D47" i="63" s="1"/>
  <c r="F47" i="63" s="1"/>
  <c r="D47" i="66" s="1"/>
  <c r="F47" i="66" s="1"/>
  <c r="D47" i="57"/>
  <c r="F47" i="57" s="1"/>
  <c r="D47" i="59" s="1"/>
  <c r="D48" i="57"/>
  <c r="F48" i="57" s="1"/>
  <c r="D48" i="59" s="1"/>
  <c r="F48" i="59" s="1"/>
  <c r="D48" i="61" s="1"/>
  <c r="F48" i="61" s="1"/>
  <c r="D48" i="63" s="1"/>
  <c r="F48" i="63" s="1"/>
  <c r="D48" i="66" s="1"/>
  <c r="F48" i="66" s="1"/>
  <c r="D45" i="57"/>
  <c r="F45" i="57" s="1"/>
  <c r="D45" i="59" s="1"/>
  <c r="F45" i="59" s="1"/>
  <c r="D45" i="61" s="1"/>
  <c r="F45" i="61" s="1"/>
  <c r="D45" i="63" s="1"/>
  <c r="F45" i="63" s="1"/>
  <c r="D45" i="66" s="1"/>
  <c r="F45" i="66" s="1"/>
  <c r="D61" i="57"/>
  <c r="F61" i="57" s="1"/>
  <c r="D61" i="59" s="1"/>
  <c r="F61" i="59" s="1"/>
  <c r="D61" i="61" s="1"/>
  <c r="F61" i="61" s="1"/>
  <c r="D61" i="63" s="1"/>
  <c r="F61" i="63" s="1"/>
  <c r="D61" i="66" s="1"/>
  <c r="F61" i="66" s="1"/>
  <c r="F46" i="59"/>
  <c r="D46" i="61" s="1"/>
  <c r="F46" i="61" s="1"/>
  <c r="D46" i="63" s="1"/>
  <c r="F46" i="63" s="1"/>
  <c r="D46" i="66" s="1"/>
  <c r="F46" i="66" s="1"/>
  <c r="D46" i="57"/>
  <c r="F46" i="57" s="1"/>
  <c r="D46" i="59" s="1"/>
  <c r="F70" i="59"/>
  <c r="D70" i="57"/>
  <c r="F70" i="57" s="1"/>
  <c r="F116" i="55"/>
  <c r="D116" i="53"/>
  <c r="F116" i="53" s="1"/>
  <c r="P45" i="49"/>
  <c r="C44" i="47" s="1"/>
  <c r="D44" i="47" s="1"/>
  <c r="Q126" i="46"/>
  <c r="Q45" i="49" s="1"/>
  <c r="E44" i="47" s="1"/>
  <c r="F93" i="55"/>
  <c r="D93" i="53"/>
  <c r="F93" i="53" s="1"/>
  <c r="F17" i="55"/>
  <c r="D17" i="53"/>
  <c r="F17" i="53" s="1"/>
  <c r="D55" i="53"/>
  <c r="F55" i="53" s="1"/>
  <c r="D55" i="55" s="1"/>
  <c r="F55" i="55" s="1"/>
  <c r="H129" i="46"/>
  <c r="G48" i="49" s="1"/>
  <c r="D129" i="46"/>
  <c r="C48" i="49" s="1"/>
  <c r="E129" i="46"/>
  <c r="D48" i="49" s="1"/>
  <c r="C47" i="49"/>
  <c r="F129" i="46"/>
  <c r="E48" i="49" s="1"/>
  <c r="J48" i="49"/>
  <c r="N129" i="46"/>
  <c r="M48" i="49" s="1"/>
  <c r="L48" i="49"/>
  <c r="O129" i="46"/>
  <c r="N48" i="49" s="1"/>
  <c r="K48" i="49"/>
  <c r="H48" i="49"/>
  <c r="P128" i="46"/>
  <c r="P47" i="49" s="1"/>
  <c r="C46" i="47" s="1"/>
  <c r="I48" i="49"/>
  <c r="G129" i="46"/>
  <c r="F48" i="49" s="1"/>
  <c r="C16" i="49"/>
  <c r="P34" i="46"/>
  <c r="D77" i="53"/>
  <c r="F77" i="53" s="1"/>
  <c r="D77" i="55" s="1"/>
  <c r="F77" i="55" s="1"/>
  <c r="D106" i="53"/>
  <c r="F106" i="53" s="1"/>
  <c r="D106" i="55" s="1"/>
  <c r="F106" i="55" s="1"/>
  <c r="P44" i="49"/>
  <c r="C43" i="47" s="1"/>
  <c r="D43" i="47" s="1"/>
  <c r="Q124" i="46"/>
  <c r="Q44" i="49" s="1"/>
  <c r="E43" i="47" s="1"/>
  <c r="D53" i="53"/>
  <c r="F53" i="53" s="1"/>
  <c r="D53" i="55" s="1"/>
  <c r="F53" i="55" s="1"/>
  <c r="D54" i="53"/>
  <c r="F54" i="53" s="1"/>
  <c r="D54" i="55" s="1"/>
  <c r="F54" i="55" s="1"/>
  <c r="F101" i="55"/>
  <c r="D101" i="53"/>
  <c r="F101" i="53" s="1"/>
  <c r="D56" i="53"/>
  <c r="F56" i="53" s="1"/>
  <c r="D56" i="55" s="1"/>
  <c r="F56" i="55" s="1"/>
  <c r="D50" i="53"/>
  <c r="F50" i="53" s="1"/>
  <c r="D50" i="55" s="1"/>
  <c r="F50" i="55" s="1"/>
  <c r="C41" i="49"/>
  <c r="D126" i="53"/>
  <c r="F126" i="53" s="1"/>
  <c r="D126" i="55" s="1"/>
  <c r="F126" i="55" s="1"/>
  <c r="F115" i="55"/>
  <c r="D115" i="53"/>
  <c r="F115" i="53" s="1"/>
  <c r="D71" i="53"/>
  <c r="F71" i="53" s="1"/>
  <c r="D71" i="55" s="1"/>
  <c r="F71" i="55" s="1"/>
  <c r="D62" i="53"/>
  <c r="F62" i="53" s="1"/>
  <c r="D62" i="55" s="1"/>
  <c r="F62" i="55"/>
  <c r="E64" i="3"/>
  <c r="D64" i="46" s="1"/>
  <c r="D58" i="46"/>
  <c r="F32" i="55"/>
  <c r="D32" i="53"/>
  <c r="F32" i="53" s="1"/>
  <c r="F110" i="55"/>
  <c r="D110" i="53"/>
  <c r="F110" i="53" s="1"/>
  <c r="D124" i="53"/>
  <c r="F124" i="53" s="1"/>
  <c r="D124" i="55" s="1"/>
  <c r="F124" i="55" s="1"/>
  <c r="D57" i="53"/>
  <c r="F57" i="53" s="1"/>
  <c r="D57" i="55" s="1"/>
  <c r="F57" i="55" s="1"/>
  <c r="E130" i="3"/>
  <c r="A132" i="3"/>
  <c r="F79" i="3"/>
  <c r="D79" i="41" s="1"/>
  <c r="F79" i="41" s="1"/>
  <c r="D79" i="51" s="1"/>
  <c r="F79" i="51" s="1"/>
  <c r="F87" i="3"/>
  <c r="D87" i="41" s="1"/>
  <c r="F87" i="41" s="1"/>
  <c r="D87" i="51" s="1"/>
  <c r="F87" i="51" s="1"/>
  <c r="F118" i="3"/>
  <c r="D118" i="41" s="1"/>
  <c r="F118" i="41" s="1"/>
  <c r="D118" i="51" s="1"/>
  <c r="F118" i="51" s="1"/>
  <c r="F58" i="3"/>
  <c r="D58" i="41" s="1"/>
  <c r="F58" i="41" s="1"/>
  <c r="D58" i="51" s="1"/>
  <c r="F58" i="51" s="1"/>
  <c r="F27" i="3"/>
  <c r="F17" i="59" l="1"/>
  <c r="D17" i="57"/>
  <c r="F17" i="57" s="1"/>
  <c r="F54" i="59"/>
  <c r="D54" i="57"/>
  <c r="F54" i="57" s="1"/>
  <c r="F56" i="59"/>
  <c r="D56" i="57"/>
  <c r="F56" i="57" s="1"/>
  <c r="F53" i="59"/>
  <c r="D53" i="57"/>
  <c r="F53" i="57" s="1"/>
  <c r="F124" i="59"/>
  <c r="D124" i="57"/>
  <c r="F124" i="57" s="1"/>
  <c r="D106" i="57"/>
  <c r="F106" i="57" s="1"/>
  <c r="F77" i="59"/>
  <c r="D77" i="57"/>
  <c r="F77" i="57" s="1"/>
  <c r="F55" i="59"/>
  <c r="D55" i="57"/>
  <c r="F55" i="57" s="1"/>
  <c r="F71" i="59"/>
  <c r="D71" i="57"/>
  <c r="F71" i="57" s="1"/>
  <c r="F126" i="59"/>
  <c r="D126" i="57"/>
  <c r="F126" i="57" s="1"/>
  <c r="F57" i="59"/>
  <c r="D57" i="57"/>
  <c r="F57" i="57" s="1"/>
  <c r="D62" i="57"/>
  <c r="F62" i="57" s="1"/>
  <c r="D62" i="59" s="1"/>
  <c r="F62" i="59" s="1"/>
  <c r="D62" i="61" s="1"/>
  <c r="F62" i="61" s="1"/>
  <c r="D62" i="63" s="1"/>
  <c r="F62" i="63" s="1"/>
  <c r="D62" i="66" s="1"/>
  <c r="F62" i="66" s="1"/>
  <c r="D50" i="57"/>
  <c r="F50" i="57" s="1"/>
  <c r="D50" i="59" s="1"/>
  <c r="F50" i="59" s="1"/>
  <c r="D50" i="61" s="1"/>
  <c r="F50" i="61" s="1"/>
  <c r="D50" i="63" s="1"/>
  <c r="F50" i="63" s="1"/>
  <c r="D50" i="66" s="1"/>
  <c r="F50" i="66" s="1"/>
  <c r="C22" i="49"/>
  <c r="P58" i="46"/>
  <c r="G2" i="3"/>
  <c r="D130" i="46"/>
  <c r="D118" i="53"/>
  <c r="F118" i="53" s="1"/>
  <c r="D118" i="55" s="1"/>
  <c r="F118" i="55" s="1"/>
  <c r="D58" i="53"/>
  <c r="F58" i="53" s="1"/>
  <c r="D58" i="55" s="1"/>
  <c r="F58" i="55" s="1"/>
  <c r="C24" i="49"/>
  <c r="P64" i="46"/>
  <c r="E131" i="3"/>
  <c r="A1" i="3"/>
  <c r="P16" i="49"/>
  <c r="C15" i="47" s="1"/>
  <c r="Q34" i="46"/>
  <c r="D87" i="53"/>
  <c r="F87" i="53" s="1"/>
  <c r="D87" i="55" s="1"/>
  <c r="F87" i="55" s="1"/>
  <c r="D79" i="53"/>
  <c r="F79" i="53" s="1"/>
  <c r="D79" i="55" s="1"/>
  <c r="F79" i="55" s="1"/>
  <c r="A2" i="3"/>
  <c r="D27" i="41"/>
  <c r="F27" i="41" s="1"/>
  <c r="D27" i="51" s="1"/>
  <c r="F27" i="51" s="1"/>
  <c r="F64" i="3"/>
  <c r="D64" i="41" s="1"/>
  <c r="F64" i="41" s="1"/>
  <c r="D64" i="51" s="1"/>
  <c r="F64" i="51" s="1"/>
  <c r="D95" i="41"/>
  <c r="F95" i="41" s="1"/>
  <c r="D95" i="51" s="1"/>
  <c r="F95" i="51" s="1"/>
  <c r="F34" i="3"/>
  <c r="D34" i="41" s="1"/>
  <c r="F34" i="41" s="1"/>
  <c r="D34" i="51" s="1"/>
  <c r="F34" i="51" s="1"/>
  <c r="F58" i="59" l="1"/>
  <c r="D58" i="57"/>
  <c r="F58" i="57" s="1"/>
  <c r="D118" i="57"/>
  <c r="F118" i="57" s="1"/>
  <c r="F79" i="59"/>
  <c r="D79" i="57"/>
  <c r="F79" i="57" s="1"/>
  <c r="F87" i="59"/>
  <c r="D87" i="57"/>
  <c r="F87" i="57" s="1"/>
  <c r="H131" i="46"/>
  <c r="G50" i="49" s="1"/>
  <c r="D131" i="46"/>
  <c r="C50" i="49" s="1"/>
  <c r="C49" i="49"/>
  <c r="E131" i="46"/>
  <c r="D50" i="49" s="1"/>
  <c r="F131" i="46"/>
  <c r="E50" i="49" s="1"/>
  <c r="G131" i="46"/>
  <c r="F50" i="49" s="1"/>
  <c r="H50" i="49"/>
  <c r="D95" i="53"/>
  <c r="F95" i="53" s="1"/>
  <c r="D95" i="55" s="1"/>
  <c r="F95" i="55" s="1"/>
  <c r="D27" i="53"/>
  <c r="F27" i="53" s="1"/>
  <c r="D27" i="55" s="1"/>
  <c r="F27" i="55" s="1"/>
  <c r="D132" i="46"/>
  <c r="E11" i="3"/>
  <c r="D11" i="46" s="1"/>
  <c r="P24" i="49"/>
  <c r="C23" i="47" s="1"/>
  <c r="D23" i="47" s="1"/>
  <c r="Q64" i="46"/>
  <c r="Q24" i="49" s="1"/>
  <c r="E23" i="47" s="1"/>
  <c r="P22" i="49"/>
  <c r="C21" i="47" s="1"/>
  <c r="D21" i="47" s="1"/>
  <c r="Q58" i="46"/>
  <c r="Q22" i="49" s="1"/>
  <c r="E21" i="47" s="1"/>
  <c r="D64" i="53"/>
  <c r="F64" i="53" s="1"/>
  <c r="D64" i="55" s="1"/>
  <c r="F64" i="55" s="1"/>
  <c r="D34" i="53"/>
  <c r="F34" i="53" s="1"/>
  <c r="D34" i="55" s="1"/>
  <c r="F34" i="55" s="1"/>
  <c r="E12" i="3"/>
  <c r="D12" i="46" s="1"/>
  <c r="F11" i="3"/>
  <c r="D11" i="41" s="1"/>
  <c r="F11" i="41" s="1"/>
  <c r="D11" i="51" s="1"/>
  <c r="F11" i="51" s="1"/>
  <c r="F34" i="59" l="1"/>
  <c r="D34" i="61" s="1"/>
  <c r="F34" i="61" s="1"/>
  <c r="D34" i="63" s="1"/>
  <c r="F34" i="63" s="1"/>
  <c r="D34" i="66" s="1"/>
  <c r="F34" i="66" s="1"/>
  <c r="D34" i="57"/>
  <c r="F34" i="57" s="1"/>
  <c r="D34" i="59" s="1"/>
  <c r="F27" i="59"/>
  <c r="D27" i="57"/>
  <c r="F27" i="57" s="1"/>
  <c r="D64" i="57"/>
  <c r="F64" i="57" s="1"/>
  <c r="D64" i="59" s="1"/>
  <c r="F64" i="59" s="1"/>
  <c r="D64" i="61" s="1"/>
  <c r="F64" i="61" s="1"/>
  <c r="D64" i="63" s="1"/>
  <c r="F64" i="63" s="1"/>
  <c r="D64" i="66" s="1"/>
  <c r="F64" i="66" s="1"/>
  <c r="F95" i="59"/>
  <c r="D95" i="57"/>
  <c r="F95" i="57" s="1"/>
  <c r="D11" i="53"/>
  <c r="F11" i="53" s="1"/>
  <c r="D11" i="55" s="1"/>
  <c r="F11" i="55" s="1"/>
  <c r="H133" i="46"/>
  <c r="G52" i="49" s="1"/>
  <c r="E133" i="46"/>
  <c r="D52" i="49" s="1"/>
  <c r="D133" i="46"/>
  <c r="C52" i="49" s="1"/>
  <c r="C51" i="49"/>
  <c r="F133" i="46"/>
  <c r="E52" i="49" s="1"/>
  <c r="G133" i="46"/>
  <c r="F52" i="49" s="1"/>
  <c r="H52" i="49"/>
  <c r="C9" i="49"/>
  <c r="F12" i="3"/>
  <c r="D12" i="41" s="1"/>
  <c r="F12" i="41" s="1"/>
  <c r="D12" i="51" s="1"/>
  <c r="F12" i="51" s="1"/>
  <c r="E19" i="3"/>
  <c r="D19" i="46" s="1"/>
  <c r="D11" i="57" l="1"/>
  <c r="F11" i="57" s="1"/>
  <c r="D11" i="59" s="1"/>
  <c r="C11" i="49"/>
  <c r="H134" i="46"/>
  <c r="G53" i="49" s="1"/>
  <c r="G134" i="46"/>
  <c r="F53" i="49" s="1"/>
  <c r="F134" i="46"/>
  <c r="E53" i="49" s="1"/>
  <c r="E134" i="46"/>
  <c r="D53" i="49" s="1"/>
  <c r="D134" i="46"/>
  <c r="C53" i="49" s="1"/>
  <c r="H53" i="49"/>
  <c r="D12" i="53"/>
  <c r="F12" i="53" s="1"/>
  <c r="D12" i="55" s="1"/>
  <c r="F12" i="55" s="1"/>
  <c r="F19" i="3"/>
  <c r="D19" i="41" s="1"/>
  <c r="F19" i="41" s="1"/>
  <c r="D19" i="51" s="1"/>
  <c r="F19" i="51" s="1"/>
  <c r="D12" i="57" l="1"/>
  <c r="F12" i="57" s="1"/>
  <c r="D12" i="59" s="1"/>
  <c r="D19" i="53"/>
  <c r="F19" i="53" s="1"/>
  <c r="D19" i="55" s="1"/>
  <c r="F19" i="55" s="1"/>
  <c r="E106" i="59"/>
  <c r="F104" i="59"/>
  <c r="D19" i="57" l="1"/>
  <c r="F19" i="57" s="1"/>
  <c r="D19" i="59" s="1"/>
  <c r="E118" i="59"/>
  <c r="J118" i="46" s="1"/>
  <c r="J106" i="46"/>
  <c r="F106" i="59"/>
  <c r="I41" i="49" l="1"/>
  <c r="P118" i="46"/>
  <c r="F118" i="59"/>
  <c r="E130" i="59"/>
  <c r="I38" i="49"/>
  <c r="P106" i="46"/>
  <c r="E131" i="59" l="1"/>
  <c r="J130" i="46"/>
  <c r="A2" i="59"/>
  <c r="G2" i="59"/>
  <c r="A1" i="59"/>
  <c r="A132" i="59"/>
  <c r="P38" i="49"/>
  <c r="C37" i="47" s="1"/>
  <c r="D37" i="47" s="1"/>
  <c r="Q106" i="46"/>
  <c r="Q38" i="49" s="1"/>
  <c r="E37" i="47" s="1"/>
  <c r="P41" i="49"/>
  <c r="C40" i="47" s="1"/>
  <c r="D40" i="47" s="1"/>
  <c r="Q118" i="46"/>
  <c r="Q41" i="49" s="1"/>
  <c r="E40" i="47" s="1"/>
  <c r="K131" i="46" l="1"/>
  <c r="J50" i="49" s="1"/>
  <c r="I49" i="49"/>
  <c r="J131" i="46"/>
  <c r="I50" i="49" s="1"/>
  <c r="L50" i="49"/>
  <c r="N131" i="46"/>
  <c r="M50" i="49" s="1"/>
  <c r="P130" i="46"/>
  <c r="P49" i="49" s="1"/>
  <c r="C47" i="47" s="1"/>
  <c r="O131" i="46"/>
  <c r="N50" i="49" s="1"/>
  <c r="K50" i="49"/>
  <c r="E11" i="59"/>
  <c r="J132" i="46"/>
  <c r="K133" i="46" l="1"/>
  <c r="J52" i="49" s="1"/>
  <c r="J133" i="46"/>
  <c r="I52" i="49" s="1"/>
  <c r="I51" i="49"/>
  <c r="O133" i="46"/>
  <c r="N52" i="49" s="1"/>
  <c r="P132" i="46"/>
  <c r="P51" i="49" s="1"/>
  <c r="C48" i="47" s="1"/>
  <c r="K52" i="49"/>
  <c r="N133" i="46"/>
  <c r="M52" i="49" s="1"/>
  <c r="L52" i="49"/>
  <c r="J11" i="46"/>
  <c r="P11" i="46" s="1"/>
  <c r="Q11" i="46" s="1"/>
  <c r="E12" i="59"/>
  <c r="F11" i="59"/>
  <c r="D11" i="61" s="1"/>
  <c r="F11" i="61" s="1"/>
  <c r="D11" i="63" s="1"/>
  <c r="F11" i="63" s="1"/>
  <c r="D11" i="66" s="1"/>
  <c r="F11" i="66" s="1"/>
  <c r="J12" i="46" l="1"/>
  <c r="F12" i="59"/>
  <c r="D12" i="61" s="1"/>
  <c r="F12" i="61" s="1"/>
  <c r="D12" i="63" s="1"/>
  <c r="F12" i="63" s="1"/>
  <c r="D12" i="66" s="1"/>
  <c r="F12" i="66" s="1"/>
  <c r="E19" i="59"/>
  <c r="F19" i="59" l="1"/>
  <c r="D19" i="61" s="1"/>
  <c r="F19" i="61" s="1"/>
  <c r="D19" i="63" s="1"/>
  <c r="F19" i="63" s="1"/>
  <c r="D19" i="66" s="1"/>
  <c r="F19" i="66" s="1"/>
  <c r="J19" i="46"/>
  <c r="P12" i="46"/>
  <c r="I9" i="49"/>
  <c r="P9" i="49" l="1"/>
  <c r="C6" i="47" s="1"/>
  <c r="D6" i="47" s="1"/>
  <c r="Q12" i="46"/>
  <c r="Q9" i="49" s="1"/>
  <c r="E6" i="47" s="1"/>
  <c r="K134" i="46"/>
  <c r="J53" i="49" s="1"/>
  <c r="K53" i="49"/>
  <c r="L53" i="49"/>
  <c r="I11" i="49"/>
  <c r="P19" i="46"/>
  <c r="N134" i="46"/>
  <c r="M53" i="49" s="1"/>
  <c r="O134" i="46"/>
  <c r="N53" i="49" s="1"/>
  <c r="J134" i="46"/>
  <c r="I53" i="49" s="1"/>
  <c r="P11" i="49" l="1"/>
  <c r="C8" i="47" s="1"/>
  <c r="D8" i="47" s="1"/>
  <c r="Q19" i="46"/>
  <c r="Q11" i="49" s="1"/>
  <c r="E8" i="47" s="1"/>
</calcChain>
</file>

<file path=xl/sharedStrings.xml><?xml version="1.0" encoding="utf-8"?>
<sst xmlns="http://schemas.openxmlformats.org/spreadsheetml/2006/main" count="10628" uniqueCount="2640">
  <si>
    <t xml:space="preserve"> Account</t>
  </si>
  <si>
    <t xml:space="preserve"> Acct Desc</t>
  </si>
  <si>
    <t xml:space="preserve"> Description</t>
  </si>
  <si>
    <t xml:space="preserve"> Trans ID</t>
  </si>
  <si>
    <t xml:space="preserve"> Amount</t>
  </si>
  <si>
    <t xml:space="preserve"> Acct Dt</t>
  </si>
  <si>
    <t>EHRA Non Teach On Campus</t>
  </si>
  <si>
    <t>Mitchell, Kimberly Lee</t>
  </si>
  <si>
    <t>26-JUL-2019_1</t>
  </si>
  <si>
    <t>Social Security-OASDI</t>
  </si>
  <si>
    <t>Social Security-Hospital Insur</t>
  </si>
  <si>
    <t>ORP-TIAA Retirement</t>
  </si>
  <si>
    <t>ORP-TIAA Health Plan Benefits</t>
  </si>
  <si>
    <t>Medical Insurance-HMO Health P</t>
  </si>
  <si>
    <t>Travel Bd Non Emp Tran Ground</t>
  </si>
  <si>
    <t>0000011734_NATHANIEL BLAKE JACOBS</t>
  </si>
  <si>
    <t>50106492_NJacobs66.40ASGMay2019</t>
  </si>
  <si>
    <t>0000011715_ALLISON GILMORE</t>
  </si>
  <si>
    <t>50105544_AGILMORE54.68ASGMAY19</t>
  </si>
  <si>
    <t>0000011731_CHANDLER CREAN</t>
  </si>
  <si>
    <t>50105611_CCrean87.88ASGMarch18</t>
  </si>
  <si>
    <t>0000011307_SKYE GREGG</t>
  </si>
  <si>
    <t>50105606_SGregg176.22ASGMay2019</t>
  </si>
  <si>
    <t>Travel Bd Non Emp Lodging</t>
  </si>
  <si>
    <t>0000011604_WESTPOINT 751 HOTEL HOLDINGS LLC dba HYA</t>
  </si>
  <si>
    <t>50105609_7629</t>
  </si>
  <si>
    <t>Travel Bd Non Emp Meal</t>
  </si>
  <si>
    <t>Supplies-Office</t>
  </si>
  <si>
    <t>0000000020_STAPLES BUSINESS ADVANTAGE</t>
  </si>
  <si>
    <t>50107397_3422039949</t>
  </si>
  <si>
    <t>Transfer Out Non Mandatory</t>
  </si>
  <si>
    <t>0000583453_01-JUL-2019</t>
  </si>
  <si>
    <t>Other Inter-Transfer</t>
  </si>
  <si>
    <t>Investment Income-STIF</t>
  </si>
  <si>
    <t>STIF Int Alloc 07/2019</t>
  </si>
  <si>
    <t>STIF592153_31-JUL-2019</t>
  </si>
  <si>
    <t>Transfer In Inter Institution</t>
  </si>
  <si>
    <t>ASG FEES_SPRING 2019_ECSU</t>
  </si>
  <si>
    <t>GAMSC_11603</t>
  </si>
  <si>
    <t>ASG FEES_SUMMER 2019_FSU</t>
  </si>
  <si>
    <t>GAMSC_11852</t>
  </si>
  <si>
    <t>ASG FESS_SUMMER 2019_UNCW</t>
  </si>
  <si>
    <t>GAMSC_11854</t>
  </si>
  <si>
    <t>ASG FEES_SUMMER 2019_WCU</t>
  </si>
  <si>
    <t>GAMSC_11853</t>
  </si>
  <si>
    <t>ASG FEES_SUMMER 19 _UNCG</t>
  </si>
  <si>
    <t>GAMSC_11845</t>
  </si>
  <si>
    <t>ASG FEE_SUMMER II 2019_UNCA</t>
  </si>
  <si>
    <t>GAMSC_11813</t>
  </si>
  <si>
    <t>ASG FEES SUMMER 2019_UNCC</t>
  </si>
  <si>
    <t>GAMSC_11802</t>
  </si>
  <si>
    <t>ASG SUMMER I&amp;II 2019 _UNC CH</t>
  </si>
  <si>
    <t>GAMSC_11780</t>
  </si>
  <si>
    <t>Category</t>
  </si>
  <si>
    <t>Subcategory</t>
  </si>
  <si>
    <t>(1) REVENUES</t>
  </si>
  <si>
    <t>(1.1) Recurring</t>
  </si>
  <si>
    <t>(1.1.1) Student Fee Collection</t>
  </si>
  <si>
    <t>(1.1) Subtotal</t>
  </si>
  <si>
    <t>(1.2) Non-Recurring</t>
  </si>
  <si>
    <t>(1.2.1) Rollover from FY2019</t>
  </si>
  <si>
    <t>(1.2) Subtotal</t>
  </si>
  <si>
    <t>(1) Subtotal</t>
  </si>
  <si>
    <t>(2) PERSONNEL</t>
  </si>
  <si>
    <t>(2.1) Officers</t>
  </si>
  <si>
    <t>(2.1.1) President</t>
  </si>
  <si>
    <t>(2.1.2) Senior Vice President</t>
  </si>
  <si>
    <t>(2.1.3) Chief of Staff</t>
  </si>
  <si>
    <t>(2.1.4) VP of Government Outreach</t>
  </si>
  <si>
    <t>(2.1.5) VP of Media Outreach</t>
  </si>
  <si>
    <t>(2.1.6) VP of Campus Outreach</t>
  </si>
  <si>
    <t>(2.1.7) VP of Budget and Finance</t>
  </si>
  <si>
    <t>(2.1.8) Graduate Student Representative</t>
  </si>
  <si>
    <t>(2.1.9) MSI Representative</t>
  </si>
  <si>
    <t>(2.1) Subtotal</t>
  </si>
  <si>
    <t>(2.2) Professional Staff</t>
  </si>
  <si>
    <t>(2.2.1) Advisor Salary</t>
  </si>
  <si>
    <t>(2.2.2) Advisor - Benefits - Reirement Plan</t>
  </si>
  <si>
    <t>(2.2.3) Advisor - Benefits - Health Insurance</t>
  </si>
  <si>
    <t>(2.2.4) Advisor - Taxes - Social Security</t>
  </si>
  <si>
    <t>(2.2.5) Advisor - Taxes - Medicare</t>
  </si>
  <si>
    <t>(2.2) Subtotal</t>
  </si>
  <si>
    <t>(2.3) Delegates</t>
  </si>
  <si>
    <t>(2.3.1) Campus Liaison Stipends</t>
  </si>
  <si>
    <t>(2.3) Subtotal</t>
  </si>
  <si>
    <t>(2) Subtotal</t>
  </si>
  <si>
    <t>(3.1) Office</t>
  </si>
  <si>
    <t>(3.1.1) Telecommunications - Phones</t>
  </si>
  <si>
    <t>(3.1.2) Office Supplies and Maintenance</t>
  </si>
  <si>
    <t>(3.1) Subtotal</t>
  </si>
  <si>
    <t>(3.2) Information Technology</t>
  </si>
  <si>
    <t>(3.2.1) Website - Hosting</t>
  </si>
  <si>
    <t>(3.2.2) Media Outreach</t>
  </si>
  <si>
    <t>(3.2.3) Technology Replacement</t>
  </si>
  <si>
    <t>(3.2) Subtotal</t>
  </si>
  <si>
    <t>(3) Subtotal</t>
  </si>
  <si>
    <t>(4) MEETINGS</t>
  </si>
  <si>
    <t>(4.1) Business Meetings</t>
  </si>
  <si>
    <t>(4.1.1) Lodging</t>
  </si>
  <si>
    <t>(4.1.2) Mileage</t>
  </si>
  <si>
    <t>(4.1.3) Food</t>
  </si>
  <si>
    <t>(4.1) Subtotal</t>
  </si>
  <si>
    <t>(4.2) Special Events</t>
  </si>
  <si>
    <t>(4.2.1) Summer CSBP / EO Meetings</t>
  </si>
  <si>
    <t>(4.2.2) 2019 Sanders Dinner - Award Plaques</t>
  </si>
  <si>
    <t>(4.2) Subtotal</t>
  </si>
  <si>
    <t>(4) Subtotal</t>
  </si>
  <si>
    <t>(5) SPECIAL PROJECTS</t>
  </si>
  <si>
    <t>(5.1) Advocacy</t>
  </si>
  <si>
    <t>(5.1.1) Advocacy Trip to State Capitol</t>
  </si>
  <si>
    <t>(5.1) Subtotal</t>
  </si>
  <si>
    <t>(5.2) Grant Funds</t>
  </si>
  <si>
    <t>(5.2.1) Grant Funds</t>
  </si>
  <si>
    <t>(5.2) Subtotal</t>
  </si>
  <si>
    <t>(5.3) Discretionary Funds</t>
  </si>
  <si>
    <t>(5.3.1) Discretionary Funds</t>
  </si>
  <si>
    <t>(5.3) Subtotal</t>
  </si>
  <si>
    <t>(5.4) Special Projects</t>
  </si>
  <si>
    <t>(5.4.1) Spring Initiative</t>
  </si>
  <si>
    <t>(5.4.2) Graduate Student Initiative</t>
  </si>
  <si>
    <t>(5.4.3) MSI Initiative</t>
  </si>
  <si>
    <t>(5.4) Subtotal</t>
  </si>
  <si>
    <t>(6.1) Required Administrative</t>
  </si>
  <si>
    <t>(6.1.1) UNC General Administration - Financial Services</t>
  </si>
  <si>
    <t>(6.1) Subtotal</t>
  </si>
  <si>
    <t>(6) Subtotal</t>
  </si>
  <si>
    <t>JULY TOTAL REVENUES</t>
  </si>
  <si>
    <t>JULY TOTAL EXPENSES</t>
  </si>
  <si>
    <t>REVENUES LESS EXPENSES</t>
  </si>
  <si>
    <t>(1.1.2) Investment Income</t>
  </si>
  <si>
    <t>(3) OFFICE &amp; OPERATIONS</t>
  </si>
  <si>
    <t>(6) ADMINISTRATIVE</t>
  </si>
  <si>
    <t>(0) ASSETS</t>
  </si>
  <si>
    <t>(0.1) Reserves</t>
  </si>
  <si>
    <t>(0.1.1) Reserve Fund</t>
  </si>
  <si>
    <t>(0.2.1) Capital Equipment</t>
  </si>
  <si>
    <t>(0.1) Subtotal</t>
  </si>
  <si>
    <t>(0.2) Subtotal</t>
  </si>
  <si>
    <t>(0) Subtotal</t>
  </si>
  <si>
    <t>(0.2) Capital</t>
  </si>
  <si>
    <t>(0.2.2) Investment Value</t>
  </si>
  <si>
    <t>Fiscal Year 2020 - July</t>
  </si>
  <si>
    <t>0000004741_NC DEPT. OF PUBLIC SAFETY dba CORRECTION</t>
  </si>
  <si>
    <t>Telephone-Local Service</t>
  </si>
  <si>
    <t>0000006447_UNIVERSITY OF NC AT CHAPEL HILL</t>
  </si>
  <si>
    <t>50040861_AR5100-2016-07</t>
  </si>
  <si>
    <t>0000006857_RESIDENCE INN CHAPEL HILL</t>
  </si>
  <si>
    <t>50041011_5665800005167</t>
  </si>
  <si>
    <t>ASG FEES SUMMER 16 NCCU</t>
  </si>
  <si>
    <t>GAMSC_4088</t>
  </si>
  <si>
    <t>Participant Stipends</t>
  </si>
  <si>
    <t>0000005513_VINCENT CAHILL</t>
  </si>
  <si>
    <t>50041259_STIP_ASG_P_JUNE2016</t>
  </si>
  <si>
    <t>0000006372_AARON JACOB HEFT</t>
  </si>
  <si>
    <t>50041262_STIP_ASG_P_JUNE2016</t>
  </si>
  <si>
    <t>0000006886_ZACKARY KING</t>
  </si>
  <si>
    <t>50041257_STIP_ASG_P_JUNE2016</t>
  </si>
  <si>
    <t>0000006355_DAVONTE BELLE</t>
  </si>
  <si>
    <t>50041258_STIP_ASG_P_JUNE2016</t>
  </si>
  <si>
    <t>0000007566_KARNELLA M. FOBBS</t>
  </si>
  <si>
    <t>50041263_STIP_ASG_P_JUNE2016</t>
  </si>
  <si>
    <t>0000007277_STEVEN D. NUNEZ</t>
  </si>
  <si>
    <t>50041261_STIP_ASG_P_JUNE2016</t>
  </si>
  <si>
    <t>0000005588_MADELINE FINNEGAN</t>
  </si>
  <si>
    <t>50041260_STIP_ASG_P_JUNE2016</t>
  </si>
  <si>
    <t>Meighen, Bethany D</t>
  </si>
  <si>
    <t>27-JUL-2016_1</t>
  </si>
  <si>
    <t>(5) Subtotal</t>
  </si>
  <si>
    <t>Change</t>
  </si>
  <si>
    <t>Expenses</t>
  </si>
  <si>
    <t>Fiscal Year 2020 - August</t>
  </si>
  <si>
    <t>AUGUST TOTAL REVENUES</t>
  </si>
  <si>
    <t>AUGUST TOTAL EXPENSES</t>
  </si>
  <si>
    <t>50041818_FINNEGAN37.40TRAJUL16</t>
  </si>
  <si>
    <t>0000009010_MARY C. FORBES</t>
  </si>
  <si>
    <t>50041825_FORBES61.88TRAJUL16</t>
  </si>
  <si>
    <t>0000008834_TAREAKE DORILL RAMOS</t>
  </si>
  <si>
    <t>50041817_RAMOS112.88TRAJUL16</t>
  </si>
  <si>
    <t>0000008251_BETHANY D MEIGHEN</t>
  </si>
  <si>
    <t>50041820_MEIGHEN118.04LODGJUL16</t>
  </si>
  <si>
    <t>0000009009_AJANAE T. WILLIS</t>
  </si>
  <si>
    <t>50041823_WILLIS133.28TRAJUL16</t>
  </si>
  <si>
    <t>0000008852_JANE WELLS CHIFFRILLER</t>
  </si>
  <si>
    <t>50041839_STIP_ASG_ VPB_AUGUST2016</t>
  </si>
  <si>
    <t>0000008831_JOHN GENTRY FITCH</t>
  </si>
  <si>
    <t>50041836_STIP_ASG_VPG_August2016</t>
  </si>
  <si>
    <t>0000008839_DEJA GILMORE</t>
  </si>
  <si>
    <t>50041838_STIP_ASG_VPC_August2016</t>
  </si>
  <si>
    <t>0000007572_JEREMIAH BRADSHAW</t>
  </si>
  <si>
    <t>50041835_STIP_ASG_CS_AUGUST2016</t>
  </si>
  <si>
    <t>0000008503_EZZARD PICKETT</t>
  </si>
  <si>
    <t>50041834_STIP_ASG_SVP_AUGUST2016</t>
  </si>
  <si>
    <t>50041837_STIP_ASG_P_AUGUST2016</t>
  </si>
  <si>
    <t>WCU-ASG-FEES SUMM16</t>
  </si>
  <si>
    <t>GAMSC_4221</t>
  </si>
  <si>
    <t>ASG FEES SUMMER 2016</t>
  </si>
  <si>
    <t>GAMSC_4232</t>
  </si>
  <si>
    <t>ASG FEES SUMMER 16-UNCP</t>
  </si>
  <si>
    <t>GAMSC_4244</t>
  </si>
  <si>
    <t>ASG FEES SUMMER 16-UNCGA</t>
  </si>
  <si>
    <t>GAMSC_4245</t>
  </si>
  <si>
    <t>ASG FEES SUMMER 16-UNCG</t>
  </si>
  <si>
    <t>GAMSC_4242</t>
  </si>
  <si>
    <t>ASG FEES SUMMER 16-UNCCH</t>
  </si>
  <si>
    <t>GAMSC_4243</t>
  </si>
  <si>
    <t>ASGFEES SUM16 FSU</t>
  </si>
  <si>
    <t>GAMSC_4253</t>
  </si>
  <si>
    <t>ASGFEES SUM16 ECU</t>
  </si>
  <si>
    <t>GAMSC_4254</t>
  </si>
  <si>
    <t>0000004728_4 IMPRINT</t>
  </si>
  <si>
    <t>Supplies-Non Educ Misc</t>
  </si>
  <si>
    <t>Service Agreement-Others</t>
  </si>
  <si>
    <t>Freight and Express</t>
  </si>
  <si>
    <t>50042532_338768</t>
  </si>
  <si>
    <t>50042855_AR5100-2016-08</t>
  </si>
  <si>
    <t>ASG SUMM1/11'16-ASU</t>
  </si>
  <si>
    <t>GAMSC_4318</t>
  </si>
  <si>
    <t>Travel In NC-Ground</t>
  </si>
  <si>
    <t>50042871_T614090_ER_0000008251</t>
  </si>
  <si>
    <t>50042870_T614098_ER_0000008251</t>
  </si>
  <si>
    <t>50043022_341292</t>
  </si>
  <si>
    <t>50043023_341327</t>
  </si>
  <si>
    <t>0000007280_ARAMARK</t>
  </si>
  <si>
    <t>50043058_27118</t>
  </si>
  <si>
    <t>50043064_T615793_ER_0000008251</t>
  </si>
  <si>
    <t>29-AUG-2016_1</t>
  </si>
  <si>
    <t>50043267_STIP_ASG_VPG_SEPTEMBER2016</t>
  </si>
  <si>
    <t>50043269_STIP_ASG_VPC_SEPTEMBER2016</t>
  </si>
  <si>
    <t>50043270_STIP_ASG_ VPB_SEPTEMBER2016</t>
  </si>
  <si>
    <t>50043266_STIP_ASG_CS_SEPTEMBER2016</t>
  </si>
  <si>
    <t>50043265_STIP_ASG_SVP_SEPTEMBER2016</t>
  </si>
  <si>
    <t>50043268_STIP_ASG_P_SEPTEMBER2016</t>
  </si>
  <si>
    <t>0000008833_TYLER DANIEL HARDIN</t>
  </si>
  <si>
    <t>50043552_StIPASGAug-Sept2016</t>
  </si>
  <si>
    <t>ASG FEES-FALL 2016-UNCG</t>
  </si>
  <si>
    <t>GAMSC_4430</t>
  </si>
  <si>
    <t>50043927_FINNEGAN30.48ASGtrvSEP2016</t>
  </si>
  <si>
    <t>50043821_FORBES61.88ASGtrvSEP2016</t>
  </si>
  <si>
    <t>50043926_HARDIN113.56ASGtrvSEP2016</t>
  </si>
  <si>
    <t>50043929_WILLIS133.28ASGtrvSEP2016</t>
  </si>
  <si>
    <t>ASG FEES FALL 16-NCCU</t>
  </si>
  <si>
    <t>GAMSC_4449</t>
  </si>
  <si>
    <t>OTHER-FALL 2016-ECSU</t>
  </si>
  <si>
    <t>GAMSC_4475</t>
  </si>
  <si>
    <t>SUMM I/II 2016-ECSU</t>
  </si>
  <si>
    <t>FALL 2016-ECSU</t>
  </si>
  <si>
    <t>ASG FEES-FALL16 UNC CH</t>
  </si>
  <si>
    <t>GAMSC_4476</t>
  </si>
  <si>
    <t>50044235_4864022</t>
  </si>
  <si>
    <t>50044231_341990</t>
  </si>
  <si>
    <t>50044232_341989</t>
  </si>
  <si>
    <t>50044468_AR5100-2016-09</t>
  </si>
  <si>
    <t>ASG FEES FALL16-UNC SA</t>
  </si>
  <si>
    <t>GAMSC_4499</t>
  </si>
  <si>
    <t>ASG FEES-FALL 2016-UNCP</t>
  </si>
  <si>
    <t>GAMSC_4497</t>
  </si>
  <si>
    <t>ASG FEES SUMM 2016-NCSU</t>
  </si>
  <si>
    <t>GAMSC_4503</t>
  </si>
  <si>
    <t>Travel In NC-Meals</t>
  </si>
  <si>
    <t>50044586_T619295_ER_0000008251</t>
  </si>
  <si>
    <t>ASG FEE FALL 16-UNCA</t>
  </si>
  <si>
    <t>GAMSC_4528</t>
  </si>
  <si>
    <t>Meetings and Amenities</t>
  </si>
  <si>
    <t>0000004945_BANK OF AMERICA</t>
  </si>
  <si>
    <t>50044862_BOAAUG2016</t>
  </si>
  <si>
    <t>0000006735_RYAN ANDREW BEESON</t>
  </si>
  <si>
    <t>50044919_BEESON76.16ASGtrvSEP2016</t>
  </si>
  <si>
    <t>50044916_FINNEGAN88.40ASGtrvSEP2016</t>
  </si>
  <si>
    <t>50044921_FITCH106.08ASGtrvSEP2016</t>
  </si>
  <si>
    <t>50044920_HARDIN210.80ASGtrvSEP2016</t>
  </si>
  <si>
    <t>50044922_BRADSHAW210.80ASGtrvSEPT2016</t>
  </si>
  <si>
    <t>0000006490_CHARLES GORDON WHITE II</t>
  </si>
  <si>
    <t>50044918_WHITE248.88ASGtrvSEP2016</t>
  </si>
  <si>
    <t>ASG PYMT FALL 2016 UNCC</t>
  </si>
  <si>
    <t>GAMSC_4539</t>
  </si>
  <si>
    <t>ASG FEES FALL 2016-FSU</t>
  </si>
  <si>
    <t>GAMSC_4551</t>
  </si>
  <si>
    <t>0000009110_BEST WESTERN PLUS (Wilmington)</t>
  </si>
  <si>
    <t>50044997_160CDN-UNCGEN</t>
  </si>
  <si>
    <t>ASG FEES FALL 2016-UNCW</t>
  </si>
  <si>
    <t>GAMSC_4550</t>
  </si>
  <si>
    <t>0000009117_ADAM SCHMIDT</t>
  </si>
  <si>
    <t>50045101_SCHMIDT105.40ASGtrvSEP2016</t>
  </si>
  <si>
    <t>28-SEP-2016_1</t>
  </si>
  <si>
    <t>0000009116_COLIN BEAMER</t>
  </si>
  <si>
    <t>50045099_BEAMER88.40ASGtrvSEP2016</t>
  </si>
  <si>
    <t>0000009122_DAQUAN RAHEEM BORDEAUX</t>
  </si>
  <si>
    <t>50045122_BORDEAUX103.36ASGtrvSEP2016</t>
  </si>
  <si>
    <t>0000009121_SARAH HUDAK</t>
  </si>
  <si>
    <t>50045127_HUDAK106.08ASGtrvSEP2016</t>
  </si>
  <si>
    <t>0000009115_JORDAN GREENE</t>
  </si>
  <si>
    <t>50045126_GREENE140.76ASGtrvSEP2016</t>
  </si>
  <si>
    <t>0000009120_BRYANT DORIAN MALDONADO</t>
  </si>
  <si>
    <t>50045100_MALDONADO142.12ASGtrvSEP2016</t>
  </si>
  <si>
    <t>50045150_GREENE36.72ASGtrvMAY2016</t>
  </si>
  <si>
    <t>50045383_MEIGHEN262.88LODSEP16</t>
  </si>
  <si>
    <t>ASG FEES FALL'16-ECU</t>
  </si>
  <si>
    <t>GAMSC_4584</t>
  </si>
  <si>
    <t>50045459_BORDEAUX114.24ASGtrvMAR16</t>
  </si>
  <si>
    <t>ASG FEES FALL'16-WSSU</t>
  </si>
  <si>
    <t>GAMSC_4600</t>
  </si>
  <si>
    <t>ASG FEES FALL 16-NCSU</t>
  </si>
  <si>
    <t>GAMSC_4617</t>
  </si>
  <si>
    <t>ASG FEES FALL16-WCU</t>
  </si>
  <si>
    <t>GAMSC_4625</t>
  </si>
  <si>
    <t>ASG FEES FALL 16-ASU</t>
  </si>
  <si>
    <t>GAMSC_4624</t>
  </si>
  <si>
    <t>0000009130_JAZMINE GRIFFIN</t>
  </si>
  <si>
    <t>50045972_STIP_ASG_ CL_OCTOBER2016</t>
  </si>
  <si>
    <t>0000009123_BETTYLENAH NJARAMBA</t>
  </si>
  <si>
    <t>50045976_STIP_ASG_ CL_OCTOBER2016</t>
  </si>
  <si>
    <t>0000009129_ANAI MENDEZ</t>
  </si>
  <si>
    <t>50045980_STIP_ASG_ CL_OCTOBER2016</t>
  </si>
  <si>
    <t>0000008219_KATHERINE SPALDING</t>
  </si>
  <si>
    <t>50045983_STIP_ASG_ CL_OCTOBER2016</t>
  </si>
  <si>
    <t>0000009125_RYAN KEITH SMITH</t>
  </si>
  <si>
    <t>50045973_STIP_ASG_ CL_OCTOBER2016</t>
  </si>
  <si>
    <t>0000009124_JASMINE DORLAN</t>
  </si>
  <si>
    <t>50045977_STIP_ASG_ CL_OCTOBER2016</t>
  </si>
  <si>
    <t>0000008515_MORGAN SELLERS</t>
  </si>
  <si>
    <t>50045982_STIP_ASG_ CL_OCTOBER2016</t>
  </si>
  <si>
    <t>0000009183_SARAH KEASEY</t>
  </si>
  <si>
    <t>50045981_STIP_ASG_ CL_OCTOBER2016</t>
  </si>
  <si>
    <t>0000008685_ISAIAH LUKE CULLIFER</t>
  </si>
  <si>
    <t>50045978_STIP_ASG_ CL_OCTOBER2016</t>
  </si>
  <si>
    <t>0000009126_MARCUS FERBY</t>
  </si>
  <si>
    <t>50045975_STIP_ASG_ CL_OCTOBER2016</t>
  </si>
  <si>
    <t>0000009128_KAPHAZIJA FULMORE</t>
  </si>
  <si>
    <t>50045974_STIP_ASG_ CL_OCTOBER2016</t>
  </si>
  <si>
    <t>50045979_STIP_ASG_ CL_OCTOBER2016</t>
  </si>
  <si>
    <t>50045969_STIP_ASG_VPC_OCTOBER2016</t>
  </si>
  <si>
    <t>50045970_STIP_ASG_ VPB_OCTOBER2016</t>
  </si>
  <si>
    <t>50045971_STIP_ASG_ VPM_OCTOBER2016</t>
  </si>
  <si>
    <t>50045967_STIP_ASG_VPG_OCTOBER2016</t>
  </si>
  <si>
    <t>50045966_STIP_ASG_CS_OCTOBER2016</t>
  </si>
  <si>
    <t>50045965_STIP_ASG_SVP_OCTOBER2016</t>
  </si>
  <si>
    <t>50045968_STIP_ASG_P_OCTOBER2016</t>
  </si>
  <si>
    <t>ASGFEESSUMM/FALL16 NCA&amp;T</t>
  </si>
  <si>
    <t>GAMSC_4646</t>
  </si>
  <si>
    <t>ASG SUMMER 16 WSSU</t>
  </si>
  <si>
    <t>GAMSC_4684</t>
  </si>
  <si>
    <t>50046348_FINNEGAN32.64ASGtrvOCT16</t>
  </si>
  <si>
    <t>0000008220_ELLIOT OMEGA PRESTON JACKSON</t>
  </si>
  <si>
    <t>50046358_JACKSON47.60ASGtrvOCT16</t>
  </si>
  <si>
    <t>0000007345_CARSON RICH</t>
  </si>
  <si>
    <t>50046367_RICH110.84ASGtrvOCT16</t>
  </si>
  <si>
    <t>50046360_BRADSHAW110.84ASGtrvOCT16</t>
  </si>
  <si>
    <t>50046359_HARDIN113.56ASGtrvOCT16</t>
  </si>
  <si>
    <t>0000004846_NC SCHOOL OF SCIENCE AND MATHEMATICS</t>
  </si>
  <si>
    <t>50046479_ASG-45-09</t>
  </si>
  <si>
    <t>0000006449_APPALACHIAN STATE UNIVERSITY</t>
  </si>
  <si>
    <t>50046480_ASG-45-01</t>
  </si>
  <si>
    <t>50046481_ASG-45-04</t>
  </si>
  <si>
    <t>50046615_AR5100_2016-10</t>
  </si>
  <si>
    <t>50046673_SCHMIDT27.00ASGtrvOCT16</t>
  </si>
  <si>
    <t>0000007915_ALEXANDER W. PRUNKA</t>
  </si>
  <si>
    <t>50046669_PRUNKA59.16ASGtrvOCT16</t>
  </si>
  <si>
    <t>50046677_MEIGHEN578.85LODOCT16</t>
  </si>
  <si>
    <t>0000006467_NORTH CAROLINA CENTRAL UNIVERSITY</t>
  </si>
  <si>
    <t>50046676_ASG-45-03</t>
  </si>
  <si>
    <t>50046997_T624400_ER_0000008251</t>
  </si>
  <si>
    <t>Fees-Registration In State</t>
  </si>
  <si>
    <t>26-OCT-2016_24</t>
  </si>
  <si>
    <t>Bonus Incentive Wages Budget</t>
  </si>
  <si>
    <t>0000006310_COMPASS GROUP USA, INC DBA CHARTWELLS DI</t>
  </si>
  <si>
    <t>50047013_111216</t>
  </si>
  <si>
    <t>50047388_BEESON48.96ASGtrvOCT16</t>
  </si>
  <si>
    <t>0000009390_BARON CRAWFORD</t>
  </si>
  <si>
    <t>50047363_CRAWFORD101.32ASGtrvOCT16</t>
  </si>
  <si>
    <t>50047633_STIP_ASG_ CL_NOVEMBER2016</t>
  </si>
  <si>
    <t>50047632_STIP_ASG_ CL_NOVEMBER2016</t>
  </si>
  <si>
    <t>50047638_STIP_ASG_ CL_NOVEMBER2016</t>
  </si>
  <si>
    <t>50047637_STIP_ASG_ CL_NOVEMBER2016</t>
  </si>
  <si>
    <t>50047634_STIP_ASG_ CL_NOVEMBER2016</t>
  </si>
  <si>
    <t>50047631_STIP_ASG_ CL_NOVEMBER2016</t>
  </si>
  <si>
    <t>50047639_STIP_ASG_ CL_NOVEMBER2016</t>
  </si>
  <si>
    <t>50047629_STIP_ASG_ CL_NOVEMBER2016</t>
  </si>
  <si>
    <t>50047630_STIP_ASG_ CL_NOVEMBER2016</t>
  </si>
  <si>
    <t>50047636_STIP_ASG_ CL_NOVEMBER2016</t>
  </si>
  <si>
    <t>50047635_STIP_ASG_ CL_NOVEMBER2016</t>
  </si>
  <si>
    <t>50047628_STIP_ASG_ CL_NOVEMBER2016</t>
  </si>
  <si>
    <t>50047627_STIP_ASG_ VPM_NOVEMBER2016</t>
  </si>
  <si>
    <t>50047623_STIP_ASG_VPG_NOVEMBER2016</t>
  </si>
  <si>
    <t>50047625_STIP_ASG_VPC_NOVEMBER2016</t>
  </si>
  <si>
    <t>50047626_STIP_ASG_ VPB_NOVEMBER2016</t>
  </si>
  <si>
    <t>50047622_STIP_ASG_CS_NOVEMBER2016</t>
  </si>
  <si>
    <t>0000009319_HOLLY CHRISTINE SHIELDS</t>
  </si>
  <si>
    <t>50047640_STIP_ASG_ CL_NOVEMBER2016</t>
  </si>
  <si>
    <t>50047621_STIP_ASG_SVP_NOVEMBER2016</t>
  </si>
  <si>
    <t>50047624_STIP_ASG_P_NOVEMBER2016</t>
  </si>
  <si>
    <t>50047743_346009</t>
  </si>
  <si>
    <t>50047742_346007</t>
  </si>
  <si>
    <t>50048124_T627086_ER_0000008251</t>
  </si>
  <si>
    <t>50048327_SPALDING36.72ASGtrvNOV16</t>
  </si>
  <si>
    <t>50048331_GRIFFIN64.60ASGtrvNOV16</t>
  </si>
  <si>
    <t>50048375_HARDIN64.60ASGtrvNOV16</t>
  </si>
  <si>
    <t>0000008125_CARTER WILLIAM REID</t>
  </si>
  <si>
    <t>50048330_REID89.76ASGtrvNOV16</t>
  </si>
  <si>
    <t>50048333_WILLIS134.64ASGtrvOCT16</t>
  </si>
  <si>
    <t>50048377_FITCH151.64ASGtrvNOV16</t>
  </si>
  <si>
    <t>50048376_PICKETT154.36ASGtrvNOV16</t>
  </si>
  <si>
    <t>50048374_FINNEGAN167.28ASGtrvNOV16</t>
  </si>
  <si>
    <t>50048329_FULMORE177.48ASGtrvNOV16</t>
  </si>
  <si>
    <t>50048332_KEASEY248.88ASGtrvNOV16</t>
  </si>
  <si>
    <t>0000006454_NORTH CAROLINA STATE UNIVERSITY</t>
  </si>
  <si>
    <t>50048336_ASG-45-15</t>
  </si>
  <si>
    <t>0000009413_NATIONAL PAN-HELLENIC COUNCIL</t>
  </si>
  <si>
    <t>50048379_ASG-45-08</t>
  </si>
  <si>
    <t>50048443_AR5100_2016-11</t>
  </si>
  <si>
    <t>0000009444_ASIA BREANN DUKES</t>
  </si>
  <si>
    <t>50048453_DUKES101.32ASGtrvNOV16</t>
  </si>
  <si>
    <t>0000009443_RYAN STEED</t>
  </si>
  <si>
    <t>50048457_STEED152.32ASGtrvNOV16</t>
  </si>
  <si>
    <t>0000009447_OMAR TORRES</t>
  </si>
  <si>
    <t>50048455_TORRES168.64ASGtrvNOV16</t>
  </si>
  <si>
    <t>0000009446_ROBERT WYATT BLAND</t>
  </si>
  <si>
    <t>50048456_BLAND225.08ASGtrvNOV16</t>
  </si>
  <si>
    <t>0000009445_DWAYNE PONTON</t>
  </si>
  <si>
    <t>50048454_PONTON281.52ASGtrvNOV16</t>
  </si>
  <si>
    <t>28-NOV-2016_1</t>
  </si>
  <si>
    <t>50049223_STIP_ASG_ CL_DECEMBER2016</t>
  </si>
  <si>
    <t>50049216_STIP_ASG_ CL_DECEMBER2016</t>
  </si>
  <si>
    <t>50049219_STIP_ASG_ CL_DECEMBER2016</t>
  </si>
  <si>
    <t>50049212_STIP_ASG_ CL_DECEMBER2016</t>
  </si>
  <si>
    <t>50049215_STIP_ASG_ CL_DECEMBER2016</t>
  </si>
  <si>
    <t>50049221_STIP_ASG_ CL_DECEMBER2016</t>
  </si>
  <si>
    <t>50049217_STIP_ASG_ CL_DECEMBER2016</t>
  </si>
  <si>
    <t>50049213_STIP_ASG_ CL_DECEMBER2016</t>
  </si>
  <si>
    <t>50049218_STIP_ASG_ CL_DECEMBER2016</t>
  </si>
  <si>
    <t>50049220_STIP_ASG_ CL_DECEMBER2016</t>
  </si>
  <si>
    <t>50049214_STIP_ASG_ CL_DECEMBER2016</t>
  </si>
  <si>
    <t>50049211_STIP_ASG_ CL_DECEMBER2016</t>
  </si>
  <si>
    <t>50049222_STIP_ASG_ CL_DECEMBER2016</t>
  </si>
  <si>
    <t>50049206_STIP_ASG_VPG_DECEMBER2016</t>
  </si>
  <si>
    <t>50049209_STIP_ASG_ VPB_DECEMBER2016</t>
  </si>
  <si>
    <t>50049210_STIP_ASG_ VPM_DECEMBER2016</t>
  </si>
  <si>
    <t>50049208_STIP_ASG_VPC_DECEMBER2016</t>
  </si>
  <si>
    <t>50049205_STIP_ASG_CS_DECEMBER2016</t>
  </si>
  <si>
    <t>50049204_STIP_ASG_SVP_DECEMBER2016</t>
  </si>
  <si>
    <t>50049207_STIP_ASG_P_DECEMBER2016</t>
  </si>
  <si>
    <t>50049354_ASG-45-11</t>
  </si>
  <si>
    <t>0000006455_UNIVERSITY OF NC AT ASHEVILLE</t>
  </si>
  <si>
    <t>50049350_ASG-45-18</t>
  </si>
  <si>
    <t>0000004056_UNIVERSITY OF NORTH CAROLINA AT PEMBROKE</t>
  </si>
  <si>
    <t>50049353_ASG-45-10</t>
  </si>
  <si>
    <t>0000006458_UNIVERSITY OF NC AT WILMINGTON</t>
  </si>
  <si>
    <t>50049352_ASG-45-19</t>
  </si>
  <si>
    <t>0000009490_THANDAV AT NC STATE</t>
  </si>
  <si>
    <t>50049731_ASG-45-13</t>
  </si>
  <si>
    <t>50049733_ASG-45-07</t>
  </si>
  <si>
    <t>50050090_FINNEGAN51.84ASGtrvDEC16</t>
  </si>
  <si>
    <t>0000008882_MONA ZAHIR</t>
  </si>
  <si>
    <t>50050093_ZAHIR65.78ASGtrvDEC16</t>
  </si>
  <si>
    <t>50050092_BEESON77.56ASGtrvDEC16</t>
  </si>
  <si>
    <t>50050091_HARDIN98.84ASGtrvDEC16</t>
  </si>
  <si>
    <t>50050095_WILLIS109.48ASGtrvDEC16</t>
  </si>
  <si>
    <t>50050094_WHITE121.64ASGtrvDEC16</t>
  </si>
  <si>
    <t>50050121_ASG-45-17</t>
  </si>
  <si>
    <t>0000008567_EKTAA</t>
  </si>
  <si>
    <t>50050124_ASG-45-12</t>
  </si>
  <si>
    <t>50050188_AR5100_2016-12</t>
  </si>
  <si>
    <t>20-DEC-2016_1</t>
  </si>
  <si>
    <t>0000006457_UNIVERSITY OF NC AT GREENSBORO</t>
  </si>
  <si>
    <t>50050847_ASG-45-21</t>
  </si>
  <si>
    <t>0000006450_EAST CAROLINA UNIVERSITY</t>
  </si>
  <si>
    <t>50050843_ASG-45-25</t>
  </si>
  <si>
    <t>50050846_ASG-45-28</t>
  </si>
  <si>
    <t>50050844_ASG-45-20</t>
  </si>
  <si>
    <t>50051028_STIP_ASG_ CL_JANUARY2017</t>
  </si>
  <si>
    <t>50051035_STIP_ASG_ CL_JANUARY2017</t>
  </si>
  <si>
    <t>50051025_STIP_ASG_ CL_JANUARY2017</t>
  </si>
  <si>
    <t>50051029_STIP_ASG_ CL_JANUARY2017</t>
  </si>
  <si>
    <t>50051023_STIP_ASG_ CL_JANUARY2017</t>
  </si>
  <si>
    <t>50051033_STIP_ASG_ CL_JANUARY2017</t>
  </si>
  <si>
    <t>50051024_STIP_ASG_ CL_JANUARY2017</t>
  </si>
  <si>
    <t>50051031_STIP_ASG_ CL_JANUARY2017</t>
  </si>
  <si>
    <t>50051030_STIP_ASG_ CL_JANUARY2017</t>
  </si>
  <si>
    <t>50051032_STIP_ASG_ CL_JANUARY2017</t>
  </si>
  <si>
    <t>50051026_STIP_ASG_ CL_JANUARY2017</t>
  </si>
  <si>
    <t>50051027_STIP_ASG_ CL_JANUARY2017</t>
  </si>
  <si>
    <t>50051018_STIP_ASG_VPG_JANUARY2017</t>
  </si>
  <si>
    <t>50051020_STIP_ASG_VPC_JANUARY2017</t>
  </si>
  <si>
    <t>50051021_STIP_ASG_ VPB_JANUARY2017</t>
  </si>
  <si>
    <t>50051022_STIP_ASG_ VPM_JANUARY2017</t>
  </si>
  <si>
    <t>50051017_STIP_ASG_CS_JANUARY2017</t>
  </si>
  <si>
    <t>50051016_STIP_ASG_SVP_JANUARY2017</t>
  </si>
  <si>
    <t>50051019_STIP_ASG_P_JANUARY2017</t>
  </si>
  <si>
    <t>NCSSM REFUND-NSBC CONF-11/4-6</t>
  </si>
  <si>
    <t>GAMSC_5268</t>
  </si>
  <si>
    <t>50052016_ASG-45-26</t>
  </si>
  <si>
    <t>27-JAN-2017_1</t>
  </si>
  <si>
    <t>ASG FEES FALL16 UNCC</t>
  </si>
  <si>
    <t>GAMSC_5331</t>
  </si>
  <si>
    <t>ASGFEESPRING2017WCU</t>
  </si>
  <si>
    <t>GAMSC_5328</t>
  </si>
  <si>
    <t>ASG FEES SPRING 17 UNCC</t>
  </si>
  <si>
    <t>50051714_FINNEGAN51.36ASGtrvJAN17</t>
  </si>
  <si>
    <t>50051720_HARDIN61.00ASGtrvJAN17</t>
  </si>
  <si>
    <t>50052345_SCHMIDT66.34ASGtrvJAN17</t>
  </si>
  <si>
    <t>50052340_FINNEGAN66.34ASSGtrvJAN17</t>
  </si>
  <si>
    <t>0000008837_PAUL R. NOLAN III</t>
  </si>
  <si>
    <t>50052352_NOLAN66.34ASGtrvJAN17</t>
  </si>
  <si>
    <t>50052349_FITCH74.90ASGtrvJAN17</t>
  </si>
  <si>
    <t>50052343_STEED98.44ASGtrvJAN17</t>
  </si>
  <si>
    <t>50052344_BEESON111.42ASGtrvJAN17</t>
  </si>
  <si>
    <t>0000009603_KAELOVE BRENA RICHARDSON</t>
  </si>
  <si>
    <t>50052382_RICHARDSON112.44ASGtrvJAN17</t>
  </si>
  <si>
    <t>0000009605_FAHN KASSIDY DARKOR</t>
  </si>
  <si>
    <t>50052380_DARKOR121.62ASGtrvJAN17</t>
  </si>
  <si>
    <t>50052360_MEIGHEN130.53LODJAN17</t>
  </si>
  <si>
    <t>50052341_BRADSHAW141.68ASGtrvJAN17</t>
  </si>
  <si>
    <t>50052347_HARDIN141.68ASGtrvJAN17</t>
  </si>
  <si>
    <t>0000009602_JOSHUA MCCOY</t>
  </si>
  <si>
    <t>50052381_MCCOY143.38ASGtrvJAN17</t>
  </si>
  <si>
    <t>50052207_ASG-45-22</t>
  </si>
  <si>
    <t>50052206_ASG-45-14</t>
  </si>
  <si>
    <t>50052231_ASG-45-29</t>
  </si>
  <si>
    <t>0000006452_FAYETTEVILLE STATE UNIVERSITY</t>
  </si>
  <si>
    <t>50052355_FSU680.00ASGmealsJAN17</t>
  </si>
  <si>
    <t>50052211_ASG-45-16</t>
  </si>
  <si>
    <t>0000009505_EMINENT CAPITAL LLC dba</t>
  </si>
  <si>
    <t>50052354_33570972</t>
  </si>
  <si>
    <t>50052437_T636324_ER_0000008251</t>
  </si>
  <si>
    <t>50052664_ARS5100_2017-01</t>
  </si>
  <si>
    <t>ASGFEES SPRINGFY17 NCA&amp;T</t>
  </si>
  <si>
    <t>GAMSC_5366</t>
  </si>
  <si>
    <t>ASG FEES SPR 17 UNC G</t>
  </si>
  <si>
    <t>GAMSC_5379</t>
  </si>
  <si>
    <t>ASG OTHER FEES SPR 17-ECSU</t>
  </si>
  <si>
    <t>GAMSC_5385</t>
  </si>
  <si>
    <t>50052672_STIP_ASG_ CL_FEBRUARY2017</t>
  </si>
  <si>
    <t>50052677_STIP_ASG_ CL_FEBRUARY2017</t>
  </si>
  <si>
    <t>50052680_STIP_ASG_ CL_FEBRUARY2017</t>
  </si>
  <si>
    <t>50052674_STIP_ASG_ CL_FEBRUARY2017</t>
  </si>
  <si>
    <t>50052679_STIP_ASG_ CL_FEBRUARY2017</t>
  </si>
  <si>
    <t>50052682_STIP_ASG_ CL_FEBRUARY2017</t>
  </si>
  <si>
    <t>50052681_STIP_ASG_ CL_FEBRUARY2017</t>
  </si>
  <si>
    <t>50052675_STIP_ASG_ CL_FEBRUARY2017</t>
  </si>
  <si>
    <t>50052673_STIP_ASG_ CL_FEBRUARY2017</t>
  </si>
  <si>
    <t>50052678_STIP_ASG_ CL_FEBRUARY2017</t>
  </si>
  <si>
    <t>50052676_STIP_ASG_ CL_FEBRUARY2017</t>
  </si>
  <si>
    <t>50052669_STIP_ASG_VPC_FEBRUARY2017</t>
  </si>
  <si>
    <t>50052667_STIP_ASG_VPG_FEBRUARY2017</t>
  </si>
  <si>
    <t>50052670_STIP_ASG_ VPB_FEBRUARY2017</t>
  </si>
  <si>
    <t>50052671_STIP_ASG_ VPM_FEBRUARY2017</t>
  </si>
  <si>
    <t>50052666_STIP_ASG_CS_FEBRUARY2017</t>
  </si>
  <si>
    <t>50052665_STIP_ASG_SVP_FEBRUARY2017</t>
  </si>
  <si>
    <t>ASG FEES SPRING 17-ECSU</t>
  </si>
  <si>
    <t>50052668_STIP_ASG_P_FEBRUARY2017</t>
  </si>
  <si>
    <t>ASG FEES SPRING 17-UNC A</t>
  </si>
  <si>
    <t>GAMSC_5397</t>
  </si>
  <si>
    <t>Postage</t>
  </si>
  <si>
    <t>Misc Services/Obligations</t>
  </si>
  <si>
    <t>ASG FEES SPR '17-UNC PEMBROKE</t>
  </si>
  <si>
    <t>GAMSC_5415</t>
  </si>
  <si>
    <t>ASG FEES SPR '17-UNC CH</t>
  </si>
  <si>
    <t>GAMSC_5418</t>
  </si>
  <si>
    <t>ASG FEES SUM16-UNC WILMINGTON</t>
  </si>
  <si>
    <t>GAMSC_5427</t>
  </si>
  <si>
    <t>ASG FEES SPR17-UNC WILMINGTON</t>
  </si>
  <si>
    <t>GAMSC_5426</t>
  </si>
  <si>
    <t>ASG FEESSPRING 2017 FSU</t>
  </si>
  <si>
    <t>GAMSC_5442</t>
  </si>
  <si>
    <t>50053413_PICKETT96.30ASGtrvJAN17</t>
  </si>
  <si>
    <t>ASG FEES SPRING 17-NCCU</t>
  </si>
  <si>
    <t>GAMSC_5454</t>
  </si>
  <si>
    <t>ASG FEES SPR 17 NCSU</t>
  </si>
  <si>
    <t>GAMSC_5460</t>
  </si>
  <si>
    <t>ASG FEES SPR 17 ECU</t>
  </si>
  <si>
    <t>GAMSC_5469</t>
  </si>
  <si>
    <t>ASG FEES SPR 17 WSSU</t>
  </si>
  <si>
    <t>GAMSC_5499</t>
  </si>
  <si>
    <t>ASG FEES SPR 17 ASU</t>
  </si>
  <si>
    <t>GAMSC_5510</t>
  </si>
  <si>
    <t>50054193_AR5100_2017-02</t>
  </si>
  <si>
    <t>24-FEB-2017_1</t>
  </si>
  <si>
    <t>50054252_ASG-45-57</t>
  </si>
  <si>
    <t>50054383_ASG-45-50</t>
  </si>
  <si>
    <t>50054384_ASG-45-44</t>
  </si>
  <si>
    <t>50054249_ASG-45-58</t>
  </si>
  <si>
    <t>0000009688_IOTA TAU-PHI BETA LAMBDA</t>
  </si>
  <si>
    <t>50054387_ASG-45-47</t>
  </si>
  <si>
    <t>50054385_ASG-45-43</t>
  </si>
  <si>
    <t>50054760_T641652_ER_0000008251</t>
  </si>
  <si>
    <t>50054959_CAHILL73.84ASGtrvFEB17</t>
  </si>
  <si>
    <t>0000009604_VIKRAM AIKAT</t>
  </si>
  <si>
    <t>50054965_AIKAT83.46ASGtrvFEB17</t>
  </si>
  <si>
    <t>50054963_PICKETT88.82ASGtrvFEB17</t>
  </si>
  <si>
    <t>50054964_HARDIN93.10ASGtrvFEB17</t>
  </si>
  <si>
    <t>50054961_BRADSHAW93.10ASGtrvFEB17</t>
  </si>
  <si>
    <t>50054955_NOLAN107.68ASGtrvFEB17</t>
  </si>
  <si>
    <t>50054962_FINNEGAN107.68ASGtrvFEB17</t>
  </si>
  <si>
    <t>50054954_SCHMIDT107.68ASGtrvFEB17</t>
  </si>
  <si>
    <t>50054957_FULMORE112.78ASGtrvFEB17</t>
  </si>
  <si>
    <t>50054999_STIP_ASG_ CL_MARCH2017</t>
  </si>
  <si>
    <t>50054995_STIP_ASG_ CL_MARCH2017</t>
  </si>
  <si>
    <t>50054998_STIP_ASG_ CL_MARCH2017</t>
  </si>
  <si>
    <t>50054996_STIP_ASG_ CL_MARCH2017</t>
  </si>
  <si>
    <t>50054994_STIP_ASG_ CL_MARCH2017</t>
  </si>
  <si>
    <t>50054989_STIP_ASG_ CL_MARCH2017</t>
  </si>
  <si>
    <t>50054990_STIP_ASG_ CL_MARCH2017</t>
  </si>
  <si>
    <t>50054997_STIP_ASG_ CL_MARCH2017</t>
  </si>
  <si>
    <t>50054992_STIP_ASG_ CL_MARCH2017</t>
  </si>
  <si>
    <t>50054991_STIP_ASG_ CL_MARCH2017</t>
  </si>
  <si>
    <t>50054993_STIP_ASG_ CL_MARCH2017</t>
  </si>
  <si>
    <t>50054960_KEASEY151.88ASGtrvFEB17</t>
  </si>
  <si>
    <t>50054987_STIP_ASG_ VPB_MARCH2017</t>
  </si>
  <si>
    <t>50054986_STIP_ASG_VPC_MARCH2017</t>
  </si>
  <si>
    <t>50054988_STIP_ASG_ VPM_MARCH2017</t>
  </si>
  <si>
    <t>50054984_STIP_ASG_VPG_MARCH2017</t>
  </si>
  <si>
    <t>50054983_STIP_ASG_CS_MARCH2017</t>
  </si>
  <si>
    <t>50054982_STIP_ASG_SVP_MARCH2017</t>
  </si>
  <si>
    <t>50054985_STIP_ASG_P_MARCH2017</t>
  </si>
  <si>
    <t>50055012_FITCH14.98ASGtrvMAR17</t>
  </si>
  <si>
    <t>50055011_FITCH85.60trvFEB17</t>
  </si>
  <si>
    <t>50055009_HARDIN130.12ASGtrvMAR17</t>
  </si>
  <si>
    <t>50055013_BRADSHAW130.12ASGtrvMAR17</t>
  </si>
  <si>
    <t>50055017_ASG-45-45</t>
  </si>
  <si>
    <t>50055015_ASG-45-49</t>
  </si>
  <si>
    <t>0000009690_ASU MINORITY WOMENS LEADERSHIP CIRCLE</t>
  </si>
  <si>
    <t>50055019_ASG-45-53</t>
  </si>
  <si>
    <t>50055007_MEIGHEN587.13MEALSFEB17</t>
  </si>
  <si>
    <t>50055016_ASG-45-48</t>
  </si>
  <si>
    <t>50055024_ASG-45-42</t>
  </si>
  <si>
    <t>50055014_ASG-45-62</t>
  </si>
  <si>
    <t>50055006_ASG-45-59</t>
  </si>
  <si>
    <t>0000009689_STUDENT NATIONAL MEDICAL ASSOC. BRODY</t>
  </si>
  <si>
    <t>50055005_ASG-45-41</t>
  </si>
  <si>
    <t>0000006456_UNC CHARLOTTE</t>
  </si>
  <si>
    <t>50055018_ASG-45-46</t>
  </si>
  <si>
    <t>50055078_5236121</t>
  </si>
  <si>
    <t>0000008618_DELTA SIGMA IOTA FRATERNITY, INC.</t>
  </si>
  <si>
    <t>50055467_ASG-45-51</t>
  </si>
  <si>
    <t>0000009707_DALY HOLDINGS DBA-HOLIDAY INN EXPRESS</t>
  </si>
  <si>
    <t>50055468_33989</t>
  </si>
  <si>
    <t>0000007350_MARRIOTT-WINSTON SALEM</t>
  </si>
  <si>
    <t>50055645_9445FEB17</t>
  </si>
  <si>
    <t>UNCW-ARAMARK REFUND-50043058</t>
  </si>
  <si>
    <t>GAMSC_5675</t>
  </si>
  <si>
    <t>Travel In US Not NC-Air</t>
  </si>
  <si>
    <t>0000009011_MAUPIN TRAVEL MANAGEMENT, LLC</t>
  </si>
  <si>
    <t>50056285_2121000000-37783FEB17</t>
  </si>
  <si>
    <t>29-MAR-2017_1</t>
  </si>
  <si>
    <t>50055466_ASG-45-59</t>
  </si>
  <si>
    <t>50056869_T645216_ER_0000008251</t>
  </si>
  <si>
    <t>50056921_HUDAK83.46ASGtrvFEB17</t>
  </si>
  <si>
    <t>50056918_HUDAK110.40ASGtrvMAR17</t>
  </si>
  <si>
    <t>50056927_NOLAN110.40ASGtrvMAR17</t>
  </si>
  <si>
    <t>50056933_DARKOR113.80ASGtrvMAR17</t>
  </si>
  <si>
    <t>50056934_PICKETT117.88ASGtrvMAR17</t>
  </si>
  <si>
    <t>50056935_STEED119.24ASGtrvMAR17</t>
  </si>
  <si>
    <t>50056938_DUKES123.66ASGtrvMAR17</t>
  </si>
  <si>
    <t>0000008832_JALYN HOWARD</t>
  </si>
  <si>
    <t>50056937_HOWARD130.12ASGtrvMAR17</t>
  </si>
  <si>
    <t>50056932_CRAWFORD169.56ASGtrvMAR17</t>
  </si>
  <si>
    <t>50056948_Jackson41.74ASGtrvMar17</t>
  </si>
  <si>
    <t>0000007859_DANIEL MCCORD</t>
  </si>
  <si>
    <t>50056953_McCord99.52ASGtrvMar17</t>
  </si>
  <si>
    <t>50056954_Cullifer110.40ASGtrvMar17</t>
  </si>
  <si>
    <t>50056956_Njaramba117.88ASGtrvMar17</t>
  </si>
  <si>
    <t>50056961_Fitch117.88ASGtrvMar17</t>
  </si>
  <si>
    <t>50056951_Bradshaw149.16ASGtrvMar17</t>
  </si>
  <si>
    <t>50056959_Hardin149.16ASGtrvMar17</t>
  </si>
  <si>
    <t>50056963_Willis158.34ASGtrvMar17</t>
  </si>
  <si>
    <t>Travel In US Not NC-Meals</t>
  </si>
  <si>
    <t>50057006_T645234_ER_0000008251</t>
  </si>
  <si>
    <t>Travel In US Not NC-Ground</t>
  </si>
  <si>
    <t>Fees-Registration Out of State</t>
  </si>
  <si>
    <t>Travel In US Not NC-Lodging</t>
  </si>
  <si>
    <t>0000009737_ECU COUNCIL ON FAMILY RELATIONS</t>
  </si>
  <si>
    <t>50057091_ASG-45-61</t>
  </si>
  <si>
    <t>Printing and Binding Design</t>
  </si>
  <si>
    <t>50057144_STIP_ASG_ CL_APRIL2017</t>
  </si>
  <si>
    <t>50057147_STIP_ASG_ CL_APRIL2017</t>
  </si>
  <si>
    <t>50057143_STIP_ASG_ CL_APRIL2017</t>
  </si>
  <si>
    <t>50057145_STIP_ASG_ CL_APRIL2017</t>
  </si>
  <si>
    <t>50057138_STIP_ASG_ CL_APRIL2017</t>
  </si>
  <si>
    <t>50057142_STIP_ASG_ CL_APRIL2017</t>
  </si>
  <si>
    <t>50057141_STIP_ASG_ CL_APRIL2017</t>
  </si>
  <si>
    <t>50057140_STIP_ASG_ CL_APRIL2017</t>
  </si>
  <si>
    <t>50057139_STIP_ASG_ CL_APRIL2017</t>
  </si>
  <si>
    <t>50057146_STIP_ASG_ CL_APRIL2017</t>
  </si>
  <si>
    <t>50057137_STIP_ASG_ CL_APRIL2017</t>
  </si>
  <si>
    <t>50057134_STIP_ASG_VPC_APRIL2017</t>
  </si>
  <si>
    <t>50057132_STIP_ASG_VPG_APRIL2017</t>
  </si>
  <si>
    <t>50057136_STIP_ASG_ VPM_APRIL2017</t>
  </si>
  <si>
    <t>50057135_STIP_ASG_ VPB_APRIL2017</t>
  </si>
  <si>
    <t>50057131_STIP_ASG_CS_APRIL2017</t>
  </si>
  <si>
    <t>50057130_STIP_ASG_SVP_APRIL2017</t>
  </si>
  <si>
    <t>50057133_STIP_ASG_P_APRIL2017</t>
  </si>
  <si>
    <t>50057320_AR5100_2017_03</t>
  </si>
  <si>
    <t>50057359_FITCH83.66ASGtrvMAR17</t>
  </si>
  <si>
    <t>0000006354_DAN MCCORD</t>
  </si>
  <si>
    <t>50057362_MCCORD185.68ASGtrvMAR17</t>
  </si>
  <si>
    <t>50057360_HARDIN174.46ASGtrvMAR17</t>
  </si>
  <si>
    <t>0000009785_ASHLI MOSELEY</t>
  </si>
  <si>
    <t>50057326_MOSELEY88.82ASGtrvFEB17</t>
  </si>
  <si>
    <t>0000009784_RACHELLE VERONICA ROSE BENAVIDEZ</t>
  </si>
  <si>
    <t>50057327_BENAVIDEZ126.38ASGtrvMAR17</t>
  </si>
  <si>
    <t>50057325_BENAVIDEZ136.24ASGtrvFEB17</t>
  </si>
  <si>
    <t>50057417_MEIGHEN526.50MEALSMAR17</t>
  </si>
  <si>
    <t>50058104_WHITE148.94ASGtrvMAR17</t>
  </si>
  <si>
    <t>50058089_HOWARD174.46ASGtrvMAR17</t>
  </si>
  <si>
    <t>50058106_ASG-45-67</t>
  </si>
  <si>
    <t>50058107_ASG-45-73</t>
  </si>
  <si>
    <t>50058155_AR5100-2017-04</t>
  </si>
  <si>
    <t>0000006780_SODEXO, INC.</t>
  </si>
  <si>
    <t>50058201_9094</t>
  </si>
  <si>
    <t>50058199_9093</t>
  </si>
  <si>
    <t>50058170_ASG-45-63</t>
  </si>
  <si>
    <t>50058221_ASG-45-65</t>
  </si>
  <si>
    <t>0000004773_CUSTOM ENGRAVING AND TROPHY</t>
  </si>
  <si>
    <t>50058219_135168</t>
  </si>
  <si>
    <t>0000004840_THE PICNIC BASKET (FIDUCIA, INC.)</t>
  </si>
  <si>
    <t>50058220_10738</t>
  </si>
  <si>
    <t>50058222_ASG-45-60</t>
  </si>
  <si>
    <t>26-APR-2017_1</t>
  </si>
  <si>
    <t>0000009820_CORAZONES UNIDOS SIEMPRE</t>
  </si>
  <si>
    <t>50058432_ASG-45-55</t>
  </si>
  <si>
    <t>50058431_ASG-45-52</t>
  </si>
  <si>
    <t>50058434_ASG-45-81</t>
  </si>
  <si>
    <t>50058433_ASG-45-68</t>
  </si>
  <si>
    <t>50058633_SCHMIDT22.48ASGtrvAPR17</t>
  </si>
  <si>
    <t>50058651_FINNEGAN22.48ASGtrvAPR17</t>
  </si>
  <si>
    <t>50058654_NOLAN22.48ASGtrvAPR17</t>
  </si>
  <si>
    <t>50058656_FULMORE96.30ASGtrvAPR17</t>
  </si>
  <si>
    <t>50058661_BRADSHAW130.12ASGtrvAP16</t>
  </si>
  <si>
    <t>50058660_HARDIN130.12ASGtrvAPR17</t>
  </si>
  <si>
    <t>50058659_SPALDING166.50ASGtrvAPR17</t>
  </si>
  <si>
    <t>50058619_LOGANATHAR500.00MAY17</t>
  </si>
  <si>
    <t>0000009833_FIRST AMERICAN HOTEL GROUP dba HOLIDAY</t>
  </si>
  <si>
    <t>50058626_7940</t>
  </si>
  <si>
    <t>50058836_STIP_ASG_VPG_MAY2017</t>
  </si>
  <si>
    <t>50058850_STIP_ASG_ CL_MAY2017</t>
  </si>
  <si>
    <t>50058845_STIP_ASG_ CL_MAY2017</t>
  </si>
  <si>
    <t>50058846_STIP_ASG_ CL_MAY2017</t>
  </si>
  <si>
    <t>50058841_STIP_ASG_ CL_MAY2017</t>
  </si>
  <si>
    <t>50058847_STIP_ASG_ CL_MAY2017</t>
  </si>
  <si>
    <t>50058842_STIP_ASG_ CL_MAY2017</t>
  </si>
  <si>
    <t>50058844_STIP_ASG_ CL_MAY2017</t>
  </si>
  <si>
    <t>50058848_STIP_ASG_ CL_MAY2017</t>
  </si>
  <si>
    <t>50058849_STIP_ASG_ CL_MAY2017</t>
  </si>
  <si>
    <t>50058843_STIP_ASG_ CL_MAY2017</t>
  </si>
  <si>
    <t>50058838_STIP_ASG_VPC_MAY2017</t>
  </si>
  <si>
    <t>50058839_STIP_ASG_ VPB_MAY2017</t>
  </si>
  <si>
    <t>50058840_STIP_ASG_ VPM_MAY2017</t>
  </si>
  <si>
    <t>50058835_STIP_ASG_CS_MAY2017</t>
  </si>
  <si>
    <t>50058834_STIP_ASG_SVP_MAY2017</t>
  </si>
  <si>
    <t>50058837_STIP_ASG_P_MAY2017</t>
  </si>
  <si>
    <t>50058994_GILMORE12.42ASGtrvAPR17</t>
  </si>
  <si>
    <t>50058990_BEESON109.72ASGtrvAPR17</t>
  </si>
  <si>
    <t>50058987_MENDEZ117.54ASGtrvAPR17</t>
  </si>
  <si>
    <t>50058988_CHIFFRILLER124.34ASGtrvAPR17</t>
  </si>
  <si>
    <t>50058989_KEASEY124.34ASGtrvAPR17</t>
  </si>
  <si>
    <t>50058992_WILLIS138.62ASGtrvAPR17</t>
  </si>
  <si>
    <t>Travel Bd Non Emp Tran Air</t>
  </si>
  <si>
    <t>50059025_2121000000-37783-MAR17</t>
  </si>
  <si>
    <t>Travel Bd Non Emp Tran Other</t>
  </si>
  <si>
    <t>50059154_MEIGHEN851.30LODMAR17</t>
  </si>
  <si>
    <t>50059243_T652338_ER_0000008251</t>
  </si>
  <si>
    <t>50059237_T652533_ER_0000008251</t>
  </si>
  <si>
    <t>50059481_T652540_ER_0000008251</t>
  </si>
  <si>
    <t>50059988_AR5100-2017-05</t>
  </si>
  <si>
    <t>0000338671_26-MAY-2017</t>
  </si>
  <si>
    <t>ASG Student Fees</t>
  </si>
  <si>
    <t>Grants-Miscellaneous</t>
  </si>
  <si>
    <t>26-MAY-2017_1</t>
  </si>
  <si>
    <t>0000009954_TARIK WOODS</t>
  </si>
  <si>
    <t>50060275_WOODS11.29ASGtrvMAY17</t>
  </si>
  <si>
    <t>0000009947_MICHAEL HOPKINS</t>
  </si>
  <si>
    <t>50060268_HOPKINS25.68ASGtrvMAY17</t>
  </si>
  <si>
    <t>0000009950_JOHN WILSON IV</t>
  </si>
  <si>
    <t>50060278_WILSON51.36ASGtrvMAY17</t>
  </si>
  <si>
    <t>0000009952_LA'QUON ROGERS</t>
  </si>
  <si>
    <t>50060272_ROGERS55.20ASGtrvMAY17</t>
  </si>
  <si>
    <t>50060153_HARDIN58.84ASGMAY17</t>
  </si>
  <si>
    <t>50060157_HARDIN59.92ASGtrvMAY17</t>
  </si>
  <si>
    <t>0000009949_ELIZABETH ADKINS</t>
  </si>
  <si>
    <t>50060270_ADKINS85.60ASGtrvMAY17</t>
  </si>
  <si>
    <t>Internet Service Charges</t>
  </si>
  <si>
    <t>50060300_MEIGHEN117.00MAY17</t>
  </si>
  <si>
    <t>0000009946_BAILEY MARIE RUSSELL</t>
  </si>
  <si>
    <t>50060276_RUSSELL119.58ASGtrvMAY17</t>
  </si>
  <si>
    <t>0000009955_MEREDITH MIN BIECHELE</t>
  </si>
  <si>
    <t>50060277_BIECHELE125.36ASGtrvMAY17</t>
  </si>
  <si>
    <t>0000009959_OTTILLIE MENSAH</t>
  </si>
  <si>
    <t>50060294_MENSAH125.36ASGtrvMAY17</t>
  </si>
  <si>
    <t>0000009953_WALT GRAYSON</t>
  </si>
  <si>
    <t>50060279_GRAYSON129.44ASGtrvMAY17</t>
  </si>
  <si>
    <t>0000009118_ANDERSON BREEZE CLAYTON</t>
  </si>
  <si>
    <t>50060266_CLAYTON130.12ASGtrvMAY17</t>
  </si>
  <si>
    <t>0000009948_BRITTNEY DANIELLE LAMB</t>
  </si>
  <si>
    <t>50060274_LAMB141.34ASGtrvMAY17</t>
  </si>
  <si>
    <t>50060155_SHIELDS142.70ASGtrvMAY17</t>
  </si>
  <si>
    <t>50060243_HOWARD150.18ASGtrvMAR17</t>
  </si>
  <si>
    <t>50060237_ASG-45-78</t>
  </si>
  <si>
    <t>50060234_ASG-45-79</t>
  </si>
  <si>
    <t>50060241_ASG-45-69</t>
  </si>
  <si>
    <t>50060233_ASG-45-77</t>
  </si>
  <si>
    <t>50060236_ASG-45-70</t>
  </si>
  <si>
    <t>50060235_ASG-45-80</t>
  </si>
  <si>
    <t>0000006460_WINSTON-SALEM STATE UNIVERSITY</t>
  </si>
  <si>
    <t>50060240_ASG-45-74</t>
  </si>
  <si>
    <t>50060242_ASG-45-66</t>
  </si>
  <si>
    <t>50060127_ASG-45-75</t>
  </si>
  <si>
    <t>UNCC-RMBUNUSED FUNDS-ASG-45-46</t>
  </si>
  <si>
    <t>GAMSC_6255</t>
  </si>
  <si>
    <t>50061335_2121000000-37783-MAY17</t>
  </si>
  <si>
    <t>0000010005_JAVONTY HUNTER</t>
  </si>
  <si>
    <t>50061366_HUNTER86.12ASGtrvMAY17</t>
  </si>
  <si>
    <t>50061375_99929</t>
  </si>
  <si>
    <t>50061373_99927</t>
  </si>
  <si>
    <t>0000005291_LEONARDO HOTEL ONE LLC DBA FAIRFIELD</t>
  </si>
  <si>
    <t>50061376_434x800003612</t>
  </si>
  <si>
    <t>50061379_434x800003501</t>
  </si>
  <si>
    <t>50061738_AR5100_2017-06</t>
  </si>
  <si>
    <t>50061980_2121000000-37783-JUNE2017</t>
  </si>
  <si>
    <t>50062150_STP_ASG_P_JULY2017</t>
  </si>
  <si>
    <t>23-JUN-2017_54</t>
  </si>
  <si>
    <t>Fiscal Agent Svcs</t>
  </si>
  <si>
    <t>11% Admin Serv Fee 4th qrt 17</t>
  </si>
  <si>
    <t>ASF0361202_30-JUN-2017</t>
  </si>
  <si>
    <t>50062149_88</t>
  </si>
  <si>
    <t>0000008857_JONATHAN D. KAPELL</t>
  </si>
  <si>
    <t>50062273_KAPELL88.86ASGtrvMAY17</t>
  </si>
  <si>
    <t>50062333_434X800003341</t>
  </si>
  <si>
    <t>50062334_434X800003342</t>
  </si>
  <si>
    <t>50062912_HARDIN33.00ASGtrvJUL17</t>
  </si>
  <si>
    <t>50063130_AR5100_2017-07</t>
  </si>
  <si>
    <t>27-JUL-2017_1</t>
  </si>
  <si>
    <t>50063811_11378</t>
  </si>
  <si>
    <t>ASG FEES SUMM 2017-UNC C</t>
  </si>
  <si>
    <t>GAMSC_6702</t>
  </si>
  <si>
    <t>50063882_11382</t>
  </si>
  <si>
    <t>UNCCH-ASG FEES_SUMM 17-JAN-JUN</t>
  </si>
  <si>
    <t>GAMSC_6723</t>
  </si>
  <si>
    <t>ASG FEES SUMM 2017</t>
  </si>
  <si>
    <t>GAMSC_6737</t>
  </si>
  <si>
    <t>ASG FEES SUMMER 17 UNC A</t>
  </si>
  <si>
    <t>GAMSC_6742</t>
  </si>
  <si>
    <t>50025383_ASG-44-02</t>
  </si>
  <si>
    <t>50034867_ASG-44-21</t>
  </si>
  <si>
    <t>Supplies-Hardware-Accessories</t>
  </si>
  <si>
    <t>0000000003_APPLE COMPUTER INC</t>
  </si>
  <si>
    <t>ASG FEE SUMMER 17-FSU</t>
  </si>
  <si>
    <t>GAMSC_6766</t>
  </si>
  <si>
    <t>ASG FEES SUMMER 17 NCSU</t>
  </si>
  <si>
    <t>GAMSC_6774</t>
  </si>
  <si>
    <t>ASG FEES SUMMER 17 ECU</t>
  </si>
  <si>
    <t>GAMSC_6775</t>
  </si>
  <si>
    <t>ASG FEE SUM17-WCU</t>
  </si>
  <si>
    <t>GAMSC_6795</t>
  </si>
  <si>
    <t>50064425_STIP_ASG_VPG_August2017</t>
  </si>
  <si>
    <t>0000010072_JAY BATCHLER</t>
  </si>
  <si>
    <t>50064428_STIP_ASG_ VPB_AUGUST2017</t>
  </si>
  <si>
    <t>50064427_STIP_ASG_VPC_August2017</t>
  </si>
  <si>
    <t>50064426_STIP_ASG_VPC_AUGUST2017</t>
  </si>
  <si>
    <t>50064424_STIP_ASG_CS_AUGUST2017</t>
  </si>
  <si>
    <t>ASG FEE FALL 2016-UNCW</t>
  </si>
  <si>
    <t>GAMSC_6808</t>
  </si>
  <si>
    <t>ASG FEE SPRING 2017-UNCW</t>
  </si>
  <si>
    <t>GAMSC_6807</t>
  </si>
  <si>
    <t>50064423_STIP_ASG_SVP_AUGUST2017</t>
  </si>
  <si>
    <t>50064429_STIP_ASG_ P_AUGUST2017</t>
  </si>
  <si>
    <t>ASG FEE SUM 2017-UNCW</t>
  </si>
  <si>
    <t>GAMSC_6806</t>
  </si>
  <si>
    <t>50064520_365428</t>
  </si>
  <si>
    <t>50064543_4452182532</t>
  </si>
  <si>
    <t>50064841_AR5100_2017-08</t>
  </si>
  <si>
    <t>50064812_T665961_ER_0000008251</t>
  </si>
  <si>
    <t>50064813_T665538_ER_0000008251</t>
  </si>
  <si>
    <t>ASG FEES_SUMM 2017-NCCU</t>
  </si>
  <si>
    <t>GAMSC_6839</t>
  </si>
  <si>
    <t>ASG FEES_SUMM I/II_ASU</t>
  </si>
  <si>
    <t>GAMSC_6878</t>
  </si>
  <si>
    <t>50065226_366553</t>
  </si>
  <si>
    <t>50065224_366551</t>
  </si>
  <si>
    <t>28-AUG-2017_1</t>
  </si>
  <si>
    <t>50066178_STIP_ASG_ VPB_SEPTEMBER2017</t>
  </si>
  <si>
    <t>50066175_STIP_ASG_VPG_SEPTEMBER2017</t>
  </si>
  <si>
    <t>50066176_STIP_ASG_VPC_SEPTEMBER2017</t>
  </si>
  <si>
    <t>50066177_STIP_ASG_VPC_SEPTEMBER2017</t>
  </si>
  <si>
    <t>50066174_STIP_ASG_CS_SEPTEMBER2017</t>
  </si>
  <si>
    <t>50066173_STIP_ASG_SVP_SEPTEMBER2017</t>
  </si>
  <si>
    <t>50066179_STIP_ASG_ P_SEPTEMBER2017</t>
  </si>
  <si>
    <t>ASG SUMM I/II 17-UNCP</t>
  </si>
  <si>
    <t>GAMSC_6991</t>
  </si>
  <si>
    <t>ASG FEES_FALL 17_AS OF 8/31/17</t>
  </si>
  <si>
    <t>GAMSC_7018</t>
  </si>
  <si>
    <t>50066587_BATCHLER29.22ASGtrvSEPT17</t>
  </si>
  <si>
    <t>50066589_WOODS73.62ASGtrvSEPT17</t>
  </si>
  <si>
    <t>50066592_BIECHELE85.38ASGtrvSEPT17</t>
  </si>
  <si>
    <t>50066594_RUSSELL89.34ASGtrvSEPT17</t>
  </si>
  <si>
    <t>50066586_HARDIN111.08ASGtrvSEPT17</t>
  </si>
  <si>
    <t>50066590_MENDEZ115.84ASGtrvSEPT17</t>
  </si>
  <si>
    <t>50066588_ROGERS128.42ASGtrvSEPT17</t>
  </si>
  <si>
    <t>50066593_MENSAH143.38ASGtrvSEPT17</t>
  </si>
  <si>
    <t>50066591_SPALDING147.80ASGtrvSEPT17</t>
  </si>
  <si>
    <t>NCA&amp;T_ASG FEES_SUMM/FALL17</t>
  </si>
  <si>
    <t>GAMSC_7063</t>
  </si>
  <si>
    <t>50067006_T670306_ER_0000008251</t>
  </si>
  <si>
    <t>UNCA_ASG FEES_FALL 17</t>
  </si>
  <si>
    <t>GAMSC_7067</t>
  </si>
  <si>
    <t>27-SEP-2017_1</t>
  </si>
  <si>
    <t>ASG FEES FALL17_ECU</t>
  </si>
  <si>
    <t>GAMSC_7105</t>
  </si>
  <si>
    <t>ASG FEE FALL17_UNC CHAR</t>
  </si>
  <si>
    <t>GAMSC_7107</t>
  </si>
  <si>
    <t>50066595_HUDAK152.22ASGtrvSEPT17</t>
  </si>
  <si>
    <t>50067563_CULLIFER58.42ASGtrvSEPT17</t>
  </si>
  <si>
    <t>0000010224_TYLER KEEL</t>
  </si>
  <si>
    <t>50067559_KEEL85.38ASGtrvSEPT17</t>
  </si>
  <si>
    <t>0000010223_ALAN LEE</t>
  </si>
  <si>
    <t>50067561_LEE111.08ASGtrvSEPT17</t>
  </si>
  <si>
    <t>50067564_MEIGHEN491.59MEALSSEPT17</t>
  </si>
  <si>
    <t>FALL 2017 ASG FEES_FSU</t>
  </si>
  <si>
    <t>GAMSC_7133</t>
  </si>
  <si>
    <t>FALL 17 ASG FEES-UNC WILMINGTO</t>
  </si>
  <si>
    <t>GAMSC_7136</t>
  </si>
  <si>
    <t>50067709_Hardin119.70BOGSept17</t>
  </si>
  <si>
    <t>ASG FEES FALL17_ NCSU</t>
  </si>
  <si>
    <t>GAMSC_7152</t>
  </si>
  <si>
    <t>0000010222_KATHERINE GALE STEMBER</t>
  </si>
  <si>
    <t>50068148_STEMBER58.42ASGtrvSEPT17</t>
  </si>
  <si>
    <t>0000004553_HARRIS TEETER INC</t>
  </si>
  <si>
    <t>50068147_HT2930-OCT 2017</t>
  </si>
  <si>
    <t>50068311_BOASept2017</t>
  </si>
  <si>
    <t>0000010231_VIVIAN OJIMADU</t>
  </si>
  <si>
    <t>50068373_OJIMADU89.24ASGtrvSEPT17</t>
  </si>
  <si>
    <t>50068565_AR5100-2017-09</t>
  </si>
  <si>
    <t>ASG FEES FALL 2017-UNC CH</t>
  </si>
  <si>
    <t>GAMSC_7233</t>
  </si>
  <si>
    <t>50068678_BATCHLER73.30ASGtrvOCT17</t>
  </si>
  <si>
    <t>50068666_SHIELDS88.38ASGtrvOCT17</t>
  </si>
  <si>
    <t>0000010244_DAVID KIMBRO</t>
  </si>
  <si>
    <t>50068676_KIMBRO91.38ASGtrvOCT17</t>
  </si>
  <si>
    <t>50068675_WILSON91.38ASGtrvOCT17</t>
  </si>
  <si>
    <t>0000010246_ROBERT L. POPE</t>
  </si>
  <si>
    <t>50068670_POPE113.12ASGtrvOCT17</t>
  </si>
  <si>
    <t>50068669_HARDIN113.12ASGtrvOCT17</t>
  </si>
  <si>
    <t>50068672_STEMBER118.22ASGtrvOCT17</t>
  </si>
  <si>
    <t>50068671_CULLIFER118.22ASGtrvOCT17</t>
  </si>
  <si>
    <t>0000010239_EMMA LOREN CARTER</t>
  </si>
  <si>
    <t>50068674_CARTER126.38ASGtrvOCT17</t>
  </si>
  <si>
    <t>50068673_BIECHELE126.38ASGtrvOCT17</t>
  </si>
  <si>
    <t>0000010237_ERIK FLIERL PANARUSKY</t>
  </si>
  <si>
    <t>50068702_STIP_ASG_ CL_OCTOBER2017</t>
  </si>
  <si>
    <t>0000010236_SAMANTHA HUFFSTETLER</t>
  </si>
  <si>
    <t>50068707_STIP_ASG_ CL_OCTOBER2017</t>
  </si>
  <si>
    <t>0000010235_JOHN L. EDWARDS</t>
  </si>
  <si>
    <t>50068701_STIP_ASG_ CL_OCTOBER2017</t>
  </si>
  <si>
    <t>50068704_STIP_ASG_ CL_OCTOBER2017</t>
  </si>
  <si>
    <t>0000010234_BROOKE BENNETT</t>
  </si>
  <si>
    <t>50068711_STIP_ASG_ CL_OCTOBER2017</t>
  </si>
  <si>
    <t>0000010233_TAYLOR MCLAINE FERIMER</t>
  </si>
  <si>
    <t>50068709_STIP_ASG_ CL_OCTOBER2017</t>
  </si>
  <si>
    <t>0000010238_RACHEL MAYNARD</t>
  </si>
  <si>
    <t>50068705_STIP_ASG_ CL_OCTOBER2017</t>
  </si>
  <si>
    <t>50068708_STIP_ASG_ CL_OCTOBER2017</t>
  </si>
  <si>
    <t>50068703_STIP_ASG_ CL_OCTOBER2017</t>
  </si>
  <si>
    <t>50068706_STIP_ASG_ CL_OCTOBER2017</t>
  </si>
  <si>
    <t>0000010232_MATTHEW OPINSKI</t>
  </si>
  <si>
    <t>50068710_STIP_ASG_ CL_OCTOBER2017</t>
  </si>
  <si>
    <t>50068699_STIP_ASG_ VPB_OCTOBER2017</t>
  </si>
  <si>
    <t>50068696_STIP_ASG_VPG_OCTOBER2017</t>
  </si>
  <si>
    <t>50068697_STIP_ASG_VPC_OCTOBER2017</t>
  </si>
  <si>
    <t>50068698_STIP_ASG_VPC_OCTOBER2017</t>
  </si>
  <si>
    <t>50068695_STIP_ASG_CS_OCTOBER2017</t>
  </si>
  <si>
    <t>50068694_STIP_ASG_SVP_OCTOBER2017</t>
  </si>
  <si>
    <t>50068700_STIP_ASG_ P_OCTOBER2017</t>
  </si>
  <si>
    <t>50068822_NJARAMBA119.58ASGtrvOCT17</t>
  </si>
  <si>
    <t>50068777_T673764_ER_0000008251</t>
  </si>
  <si>
    <t>50068820_WOODS122.98ASGtrvOCT17</t>
  </si>
  <si>
    <t>50068819_SPALDING131.82ASGOCT17</t>
  </si>
  <si>
    <t>50068821_MENSAH142.02ASGtrvOCT17</t>
  </si>
  <si>
    <t>0000010247_GIOVANNI TRIANA</t>
  </si>
  <si>
    <t>50068818_TRIANA154.94ASGtrvOCT17</t>
  </si>
  <si>
    <t>ASG FEES SUMMER 17</t>
  </si>
  <si>
    <t>GAMSC_7310</t>
  </si>
  <si>
    <t>ASG FEES FALL 17</t>
  </si>
  <si>
    <t>27-OCT-2017_1</t>
  </si>
  <si>
    <t>50069747_HARDIN128.76ASGtrvSEPT17</t>
  </si>
  <si>
    <t>50069746_HARDIN129.78ASGtrvOCT2017</t>
  </si>
  <si>
    <t>50070217_STIP_ASG_ CL_NOVEMBER2017</t>
  </si>
  <si>
    <t>50070221_STIP_ASG_ CL_NOVEMBER2017</t>
  </si>
  <si>
    <t>50070223_STIP_ASG_ CL_NOVEMBER2017</t>
  </si>
  <si>
    <t>50070218_STIP_ASG_ CL_NOVEMBER2017</t>
  </si>
  <si>
    <t>50070220_STIP_ASG_ CL_NOVEMBER2017</t>
  </si>
  <si>
    <t>50070219_STIP_ASG_ CL_NOVEMBER2017</t>
  </si>
  <si>
    <t>50070222_STIP_ASG_ CL_NOVEMBER2017</t>
  </si>
  <si>
    <t>50070224_STIP_ASG_ CL_NOVEMBER2017</t>
  </si>
  <si>
    <t>50070216_STIP_ASG_ CL_NOVEMBER2017</t>
  </si>
  <si>
    <t>50070215_STIP_ASG_ CL_NOVEMBER2017</t>
  </si>
  <si>
    <t>50070214_STIP_ASG_ CL_NOVEMBER2017</t>
  </si>
  <si>
    <t>50070212_STIP_ASG_ VPB_NOVEMBER2017</t>
  </si>
  <si>
    <t>50070209_STIP_ASG_VPG_NOVEMBER2017</t>
  </si>
  <si>
    <t>50070210_STIP_ASG_VPC_NOVEMBER2017</t>
  </si>
  <si>
    <t>50070211_STIP_ASG_VPC_NOVEMBER2017</t>
  </si>
  <si>
    <t>50070208_STIP_ASG_CS_NOVEMBER2017</t>
  </si>
  <si>
    <t>50070207_STIP_ASG_SVP_NOVEMBER2017</t>
  </si>
  <si>
    <t>50070213_STIP_ASG_ P_NOVEMBER2017</t>
  </si>
  <si>
    <t>0000010275_THATCHER JOHNSON WELDEN</t>
  </si>
  <si>
    <t>50070573_STIP_ASG_ CL_NOVEMBER2017</t>
  </si>
  <si>
    <t>50070572_STIP_ASG_ CL_NOVEMBER2017</t>
  </si>
  <si>
    <t>50070612_AR5100-2017-10</t>
  </si>
  <si>
    <t>50070623_AR5100-2017-11</t>
  </si>
  <si>
    <t>28-NOV-2017_1</t>
  </si>
  <si>
    <t>50071068_WELDEN73.30ASGtrvOCT17</t>
  </si>
  <si>
    <t>50071027_SHIELDS73.50ASGtrvNOV17</t>
  </si>
  <si>
    <t>50071026_MENSAH125.02ASGtrvNOV17</t>
  </si>
  <si>
    <t>50071029_HARDIN130.12ASGtrvNOV17</t>
  </si>
  <si>
    <t>50071019_CLAYTON130.12ASGtrvNOV17</t>
  </si>
  <si>
    <t>50071075_OJIMADU153.24ASGtrvNOV17</t>
  </si>
  <si>
    <t>ASG FEES FALL17(ANNUAL)-UNCSA</t>
  </si>
  <si>
    <t>GAMSC_7566</t>
  </si>
  <si>
    <t>50071349_BIECHELE89.88ASGtrvNOV17</t>
  </si>
  <si>
    <t>50071327_NJARAMBA109.72ASGtrvNOV17</t>
  </si>
  <si>
    <t>50071348_FERIMER111.08ASGtrvNOV17</t>
  </si>
  <si>
    <t>50071351_WOODS114.82ASGtrvNOV17</t>
  </si>
  <si>
    <t>50071323_MENDEZ125.36ASGtrvNOV17</t>
  </si>
  <si>
    <t>50071347_SHIELDS128.42ASGtrvNOV17</t>
  </si>
  <si>
    <t>50071350_BATCHLER136.24ASGtrvNOV17</t>
  </si>
  <si>
    <t>50071357_434X800003901</t>
  </si>
  <si>
    <t>50071374_HARDIN165.48ASGtrvNOV17</t>
  </si>
  <si>
    <t>50071356_434X800003909</t>
  </si>
  <si>
    <t>0000010308_INNKEEPER GREENSBORO INC dba HOLIDAY INN</t>
  </si>
  <si>
    <t>50071355_UNCASSOCSEPT17</t>
  </si>
  <si>
    <t>50071419_HT2930-DEC2017</t>
  </si>
  <si>
    <t>50071674_371972</t>
  </si>
  <si>
    <t>0000010479_ANDREW STRAHAN</t>
  </si>
  <si>
    <t>50071671_STRAHAN165.48ASGtrvNOV17</t>
  </si>
  <si>
    <t>50071672_MEIGHEN470.80MEALSNOV17</t>
  </si>
  <si>
    <t>50071729_STIP_ASG_ CL_DECEMBER2017</t>
  </si>
  <si>
    <t>50071734_STIP_ASG_ CL_DECEMBER2017</t>
  </si>
  <si>
    <t>50071730_STIP_ASG_ CL_DECEMBER2017</t>
  </si>
  <si>
    <t>50071735_STIP_ASG_ CL_DECEMBER2017</t>
  </si>
  <si>
    <t>50071737_STIP_ASG_ CL_DECEMBER2017</t>
  </si>
  <si>
    <t>50071740_STIP_ASG_ CL_DECEMBER2017</t>
  </si>
  <si>
    <t>50071728_STIP_ASG_ CL_DECEMBER2017</t>
  </si>
  <si>
    <t>50071733_STIP_ASG_ CL_DECEMBER2017</t>
  </si>
  <si>
    <t>50071739_STIP_ASG_ CL_DECEMBER2017</t>
  </si>
  <si>
    <t>50071738_STIP_ASG_ CL_DECEMBER2017</t>
  </si>
  <si>
    <t>50071731_STIP_ASG_ CL_DECEMBER2017</t>
  </si>
  <si>
    <t>50071736_STIP_ASG_ CL_DECEMBER2017</t>
  </si>
  <si>
    <t>50071732_STIP_ASG_ CL_DECEMBER2017</t>
  </si>
  <si>
    <t>50071723_STIP_ASG_VPG_DECEMBER2017</t>
  </si>
  <si>
    <t>50071726_STIP_ASG_ VPB_DECEMBER2017</t>
  </si>
  <si>
    <t>50071725_STIP_ASG_VPC_DECEMBER2017</t>
  </si>
  <si>
    <t>50071724_STIP_ASG_VPC_DECEMBER2017</t>
  </si>
  <si>
    <t>50071722_STIP_ASG_CS_DECEMBER2017</t>
  </si>
  <si>
    <t>50071721_STIP_ASG_SVP_DECEMBER2017</t>
  </si>
  <si>
    <t>50071727_STIP_ASG_ P_DECEMBER2017</t>
  </si>
  <si>
    <t>50071899_HARDIN149.02BOGDEC17</t>
  </si>
  <si>
    <t>50071892_ASG-46-04</t>
  </si>
  <si>
    <t>50071890_ASG-46-01</t>
  </si>
  <si>
    <t>50071891_ASG-46-02</t>
  </si>
  <si>
    <t>50071894_ASG-46-06</t>
  </si>
  <si>
    <t>50071898_ASG-46-08</t>
  </si>
  <si>
    <t>50071896_ASG-46-05</t>
  </si>
  <si>
    <t>50071895_ASG-46-03</t>
  </si>
  <si>
    <t>50071897_ASG-46-07</t>
  </si>
  <si>
    <t>50072011_ARS5100-2017-12</t>
  </si>
  <si>
    <t>0000010568_DELANEY VANDERGRIFT</t>
  </si>
  <si>
    <t>50072170_STIP_ASG_ CL_DECEMBER2017</t>
  </si>
  <si>
    <t>50072169_STIP_ASG_ CL_DECEMBER2017</t>
  </si>
  <si>
    <t>ASG FEES FALL 2017</t>
  </si>
  <si>
    <t>GAMSC_7675</t>
  </si>
  <si>
    <t>0000010577_MAYA HOTEL INC dba COMFORT SUITES</t>
  </si>
  <si>
    <t>50072410_38255335</t>
  </si>
  <si>
    <t>0000010678_FIRST INVESTMENT ASSOCIATES, LLC dba</t>
  </si>
  <si>
    <t>50072412_45641</t>
  </si>
  <si>
    <t>0000004927_COURTYARD MARRIOTT (Chapel Hill)</t>
  </si>
  <si>
    <t>50072458_6519D00010173</t>
  </si>
  <si>
    <t>50073254_STIP_ASG_ CL_JANUARY2018</t>
  </si>
  <si>
    <t>50073247_STIP_ASG_ CL_JANUARY2018</t>
  </si>
  <si>
    <t>50073249_STIP_ASG_ CL_JANUARY2018</t>
  </si>
  <si>
    <t>50073252_STIP_ASG_ CL_JANUARY2018</t>
  </si>
  <si>
    <t>50073251_STIP_ASG_ CL_JANUARY2018</t>
  </si>
  <si>
    <t>50073248_STIP_ASG_ CL_JANUARY2018</t>
  </si>
  <si>
    <t>50073245_STIP_ASG_ CL_JANUARY2018</t>
  </si>
  <si>
    <t>50073253_STIP_ASG_ CL_JANUARY2018</t>
  </si>
  <si>
    <t>50073244_STIP_ASG_ CL_JANUARY2018</t>
  </si>
  <si>
    <t>50073246_STIP_ASG_ CL_JANUARY2018</t>
  </si>
  <si>
    <t>50073250_STIP_ASG_ CL_JANUARY2018</t>
  </si>
  <si>
    <t>50073255_STIP_ASG_ CL_JANUARY2018</t>
  </si>
  <si>
    <t>50073240_STIP_ASG_VPC_JANUARY2018</t>
  </si>
  <si>
    <t>50073256_STIP_ASG_ CL_JANUARY2018</t>
  </si>
  <si>
    <t>50073241_STIP_ASG_VPC_JANUARY2018</t>
  </si>
  <si>
    <t>50073242_STIP_ASG_ VPB_JANUARY2018</t>
  </si>
  <si>
    <t>50073239_STIP_ASG_VPG_JANUARY2018</t>
  </si>
  <si>
    <t>50073238_STIP_ASG_CS_JANUARY2018</t>
  </si>
  <si>
    <t>50073237_STIP_ASG_SVP_JANUARY2018</t>
  </si>
  <si>
    <t>50073243_STIP_ASG_ P_JANUARY2018</t>
  </si>
  <si>
    <t>ASG FEES-FALL 2017-WCU</t>
  </si>
  <si>
    <t>GAMSC_7851</t>
  </si>
  <si>
    <t>50074365_AR5100-2018-1</t>
  </si>
  <si>
    <t>50074381_HUDAK86.88ASGtrvNOV17</t>
  </si>
  <si>
    <t>ASG FEES_SPR 18_UNC C</t>
  </si>
  <si>
    <t>GAMSC_7898</t>
  </si>
  <si>
    <t>ASG FEES SPR 18_UNCP</t>
  </si>
  <si>
    <t>GAMSC_7923</t>
  </si>
  <si>
    <t>50075079_HT2930-FEB2018</t>
  </si>
  <si>
    <t>ASG FEES SPR 2018_UNC CH</t>
  </si>
  <si>
    <t>GAMSC_7929</t>
  </si>
  <si>
    <t>ASG FEE  SP18 UNC-A</t>
  </si>
  <si>
    <t>GAMSC_7955</t>
  </si>
  <si>
    <t>ASG SPR18 NCAT</t>
  </si>
  <si>
    <t>GAMSC_7948</t>
  </si>
  <si>
    <t>ASG SP18 ECU</t>
  </si>
  <si>
    <t>GAMSC_7951</t>
  </si>
  <si>
    <t>ASG FEE SP18 NCSU</t>
  </si>
  <si>
    <t>GAMSC_7971</t>
  </si>
  <si>
    <t>ASG FEE SP18 FSU</t>
  </si>
  <si>
    <t>GAMSC_7982</t>
  </si>
  <si>
    <t>ASG FEE SP18 UNCG</t>
  </si>
  <si>
    <t>GAMSC_7983</t>
  </si>
  <si>
    <t>50075680_STIP_ASG_ CL_FEBRUARY2018</t>
  </si>
  <si>
    <t>50075675_STIP_ASG_ CL_FEBRUARY2018</t>
  </si>
  <si>
    <t>50075679_STIP_ASG_ CL_FEBRUARY2018</t>
  </si>
  <si>
    <t>50075681_STIP_ASG_ CL_FEBRUARY2018</t>
  </si>
  <si>
    <t>50075672_STIP_ASG_ CL_FEBRUARY2018</t>
  </si>
  <si>
    <t>50075677_STIP_ASG_ CL_FEBRUARY2018</t>
  </si>
  <si>
    <t>50075676_STIP_ASG_ CL_FEBRUARY2018</t>
  </si>
  <si>
    <t>50075674_STIP_ASG_ CL_FEBRUARY2018</t>
  </si>
  <si>
    <t>50075678_STIP_ASG_ CL_FEBRUARY2018</t>
  </si>
  <si>
    <t>50075673_STIP_ASG_ CL_FEBRUARY2018</t>
  </si>
  <si>
    <t>50075682_STIP_ASG_ CL_FEBRUARY2018</t>
  </si>
  <si>
    <t>50075683_STIP_ASG_ CL_FEBRUARY2018</t>
  </si>
  <si>
    <t>50075684_STIP_ASG_ CL_FEBRUARY2018</t>
  </si>
  <si>
    <t>50075670_STIP_ASG_ VPB_FEBRUARY2018</t>
  </si>
  <si>
    <t>50075669_STIP_ASG_VPC_FEBRUARY2018</t>
  </si>
  <si>
    <t>50075668_STIP_ASG_VPC_FEBRUARY2018</t>
  </si>
  <si>
    <t>50075667_STIP_ASG_VPG_FEBRUARY2018</t>
  </si>
  <si>
    <t>50075666_STIP_ASG_CS_FEBRUARY2018</t>
  </si>
  <si>
    <t>50075665_STIP_ASG_SVP_FEBRUARY2018</t>
  </si>
  <si>
    <t>50075671_STIP_ASG_ P_FEBRUARY2018</t>
  </si>
  <si>
    <t>ASG FEES SPR18 WCU</t>
  </si>
  <si>
    <t>GAMSC_7992</t>
  </si>
  <si>
    <t>50075827_BATCHLER2.18ASGtrvJAN18</t>
  </si>
  <si>
    <t>50075822_WOODS50.16ASGtrvJAN18</t>
  </si>
  <si>
    <t>50075824_STEMBER50.16ASGtrvJAN18</t>
  </si>
  <si>
    <t>50075826_BIECHELE66.00ASGtrvJAN18</t>
  </si>
  <si>
    <t>50075825_CARTER66.00ASGtrvJAN18</t>
  </si>
  <si>
    <t>50075823_RUSSELL74.12ASGtrvJAN18</t>
  </si>
  <si>
    <t>50075820_NJARAMBA88.30ASGtrvJAN18</t>
  </si>
  <si>
    <t>50075828_MENDEZ93.72ASGtrvJAN18</t>
  </si>
  <si>
    <t>50075821_HARDIN94.84ASGtrvJAN18</t>
  </si>
  <si>
    <t>0000010850_MICHAEL DAVIS</t>
  </si>
  <si>
    <t>50076081_DAVIS98.34ASGtrvJAN18</t>
  </si>
  <si>
    <t>0000010821_IVY SIMONE POPE</t>
  </si>
  <si>
    <t>50075917_STIP_ASG_ CL_FEBRUARY2018</t>
  </si>
  <si>
    <t>0000010822_BRANDON COLE TILLETT</t>
  </si>
  <si>
    <t>50075916_STIP_ASG_ CL_FEBRUARY2018</t>
  </si>
  <si>
    <t>50076130_5983090</t>
  </si>
  <si>
    <t>50076137_OJIMADU44.88ASGtrvJAN18</t>
  </si>
  <si>
    <t>50076138_HUDAK50.82ASGtrvJAN18</t>
  </si>
  <si>
    <t>50076139_STRAHAN57.42ASGtrvJAN18</t>
  </si>
  <si>
    <t>50076135_JACKSON76.56ASGtrvJAN18</t>
  </si>
  <si>
    <t>0000010852_KIMBERLY L MITCHELL</t>
  </si>
  <si>
    <t>50076119_KMITCHELL110.22INTERVIEW2/2018</t>
  </si>
  <si>
    <t>50076136_SPALDING128.70ASGtrvJAN18</t>
  </si>
  <si>
    <t>50076134_TILLETT151.80ASGtrvJAN18</t>
  </si>
  <si>
    <t>50076151_MEIGHEN396.49MEALSJAN18</t>
  </si>
  <si>
    <t>50076505_ARS5100-2018-2</t>
  </si>
  <si>
    <t>50076725_KAPELL131.58INTERVIEWFEB18</t>
  </si>
  <si>
    <t>50076739_94348</t>
  </si>
  <si>
    <t>50076891_HOPKINS7.64ASGtrvFEB18</t>
  </si>
  <si>
    <t>50076899_SHIELDS36.30ASGtrvFEB18</t>
  </si>
  <si>
    <t>50076902_BATCHLER52.14ASGtrvFEB18</t>
  </si>
  <si>
    <t>50076910_ROGERS74.58ASGtrvFEB18</t>
  </si>
  <si>
    <t>50076890_MENDEZ85.80ASGtrvFEB18</t>
  </si>
  <si>
    <t>50076889_OJIMADU85.80ASGtrvFEB18</t>
  </si>
  <si>
    <t>50076905_HARDIN107.58ASGtrvFEB18</t>
  </si>
  <si>
    <t>50076912_HARDIN110.22ASGtrvFEB18</t>
  </si>
  <si>
    <t>50076900_OPINSKI178.20ASGtrvFEB18</t>
  </si>
  <si>
    <t>50076913_ASG-46--26</t>
  </si>
  <si>
    <t>0000010881_JOSIAH THORNTON</t>
  </si>
  <si>
    <t>50077163_THORNTON72.60ASGtrvFEB18</t>
  </si>
  <si>
    <t>0000010882_ASHLEY N GEORGE</t>
  </si>
  <si>
    <t>50077162_GEORGE101.64ASGtrvFEB18</t>
  </si>
  <si>
    <t>50077188_HT2930-MAR2018</t>
  </si>
  <si>
    <t>0000010891_KAILA CRAIG</t>
  </si>
  <si>
    <t>50077215_CRAIG60.72ASGtrvFEB18</t>
  </si>
  <si>
    <t>50077217_434X800004115</t>
  </si>
  <si>
    <t>50077221_4393</t>
  </si>
  <si>
    <t>50077231_ASG-46-31</t>
  </si>
  <si>
    <t>50077232_ASG-46-30</t>
  </si>
  <si>
    <t>50077230_ASG-46-37</t>
  </si>
  <si>
    <t>50077233_ASG-46-28</t>
  </si>
  <si>
    <t>50077222_ASG-46-46</t>
  </si>
  <si>
    <t>50077227_ASG-46-41</t>
  </si>
  <si>
    <t>50077228_ASG-46-40</t>
  </si>
  <si>
    <t>50077229_ASG-46-39</t>
  </si>
  <si>
    <t>50077218_434X800004114</t>
  </si>
  <si>
    <t>50077226_ASG-46-44</t>
  </si>
  <si>
    <t>50077225_ASG-46-48</t>
  </si>
  <si>
    <t>0000010887_KAPPA ALPHA PSI FRATERNITY-EPSILON BETA</t>
  </si>
  <si>
    <t>50077223_ASG-46-49</t>
  </si>
  <si>
    <t>50077269_ASG-46-33</t>
  </si>
  <si>
    <t>50077268_ASG-46-32</t>
  </si>
  <si>
    <t>ASG FEE SP18 WSSU</t>
  </si>
  <si>
    <t>GAMSC_8162</t>
  </si>
  <si>
    <t>50077652_STIP_ASG_ CL_MARCH2018</t>
  </si>
  <si>
    <t>50077654_STIP_ASG_ CL_MARCH2018</t>
  </si>
  <si>
    <t>50077658_STIP_ASG_ CL_MARCH2018</t>
  </si>
  <si>
    <t>50077655_STIP_ASG_ CL_MARCH2018</t>
  </si>
  <si>
    <t>50077656_STIP_ASG_ CL_MARCH2018</t>
  </si>
  <si>
    <t>50077653_STIP_ASG_ CL_MARCH2018</t>
  </si>
  <si>
    <t>50077650_STIP_ASG_ CL_MARCH2018</t>
  </si>
  <si>
    <t>50077659_STIP_ASG_ CL_MARCH2018</t>
  </si>
  <si>
    <t>50077665_STIP_ASG_ CL_MARCH2018</t>
  </si>
  <si>
    <t>50077651_STIP_ASG_ CL_MARCH2018</t>
  </si>
  <si>
    <t>50077649_STIP_ASG_ CL_MARCH2018</t>
  </si>
  <si>
    <t>50077657_STIP_ASG_ CL_MARCH2018</t>
  </si>
  <si>
    <t>50077660_STIP_ASG_ CL_MARCH2018</t>
  </si>
  <si>
    <t>50077664_STIP_ASG_ CL_MARCH2018</t>
  </si>
  <si>
    <t>0000010893_SAVANNAH MANN</t>
  </si>
  <si>
    <t>50077662_STIP_ASG_ CL_MARCH2018</t>
  </si>
  <si>
    <t>50077644_STIP_ASG_VPG_MARCH2018</t>
  </si>
  <si>
    <t>50077645_STIP_ASG_VPC_MARCH2018</t>
  </si>
  <si>
    <t>50077647_STIP_ASG_ VPB_MARCH2018</t>
  </si>
  <si>
    <t>50077661_STIP_ASG_ CL_MARCH2018</t>
  </si>
  <si>
    <t>50077646_STIP_ASG_VPC_MARCH2018</t>
  </si>
  <si>
    <t>0000010880_WILLIAM B. GIBSON</t>
  </si>
  <si>
    <t>50077663_STIP_ASG_ CL_MARCH2018</t>
  </si>
  <si>
    <t>50077642_STIP_ASG_SVP_MARCH2018</t>
  </si>
  <si>
    <t>50077648_STIP_ASG_ P_MARCH2018</t>
  </si>
  <si>
    <t>50077925_434X800004146</t>
  </si>
  <si>
    <t>50078158_ARS5100-2018-3</t>
  </si>
  <si>
    <t>50078306_VOJIMADU113.52ASGTrvMAR18</t>
  </si>
  <si>
    <t>50078292_JBatchler128.70ASGTrvMar18</t>
  </si>
  <si>
    <t>50078309_JWILSON147.84ASGTrvMAR18</t>
  </si>
  <si>
    <t>50078313_KSTEMBER178.20ASGTrvMAR18</t>
  </si>
  <si>
    <t>50078298_MBiechele193.38ASGTrvMar18</t>
  </si>
  <si>
    <t>50078314_CTILLETT267.30ASGTrvMAR18</t>
  </si>
  <si>
    <t>0000004622_KNIGHT TRAVEL</t>
  </si>
  <si>
    <t>50078454_0000089676</t>
  </si>
  <si>
    <t>50078452_0000089684</t>
  </si>
  <si>
    <t>50078453_0000089677</t>
  </si>
  <si>
    <t>0000008629_ELIZABETH E BONEY</t>
  </si>
  <si>
    <t>50078465_T695990_ER_0000008629</t>
  </si>
  <si>
    <t>50078302_MAYNARD34.98ASGTrvMAR18</t>
  </si>
  <si>
    <t>50078299_THardin89.10ASGTrvMar18</t>
  </si>
  <si>
    <t>50078300_SHUFFSTETLER144.54ASGTrvMAR18</t>
  </si>
  <si>
    <t>50078310_TWOODS178.20ASGTrvMAR18</t>
  </si>
  <si>
    <t>50078304_NJARAMBA180.84ASGTrvMAR18</t>
  </si>
  <si>
    <t>50078301_EJACKSON204.60ASGTrvMAR18</t>
  </si>
  <si>
    <t>50078307_IPOPE204.60ASGTrvMAR18</t>
  </si>
  <si>
    <t>50078312_LROGERS249.48ASGTrvMAR18</t>
  </si>
  <si>
    <t>0000010964_IMAGE 420 SCREENPRINTING, INC.</t>
  </si>
  <si>
    <t>50078459_INV#19704</t>
  </si>
  <si>
    <t>50078517_ASG-46-27</t>
  </si>
  <si>
    <t>0000010966_KATHARINE MARY SHRIVER</t>
  </si>
  <si>
    <t>50078499_KSHRIVER178.20ASGTrvMAR18</t>
  </si>
  <si>
    <t>50078669_THARDIN189.74ASGTrvMAR18</t>
  </si>
  <si>
    <t>50078670_24544</t>
  </si>
  <si>
    <t>50078770_THARDIN321.69ASGTrvMAR18</t>
  </si>
  <si>
    <t>0000009418_COMFORT INN SYLVA</t>
  </si>
  <si>
    <t>50078933_3152823</t>
  </si>
  <si>
    <t>50079315_STIP_ASG_ CL_APRIL2018</t>
  </si>
  <si>
    <t>50079316_STIP_ASG_ CL_APRIL2018</t>
  </si>
  <si>
    <t>50079312_STIP_ASG_ CL_APRIL2018</t>
  </si>
  <si>
    <t>50079314_STIP_ASG_ CL_APRIL2018</t>
  </si>
  <si>
    <t>50079313_STIP_ASG_ CL_APRIL2018</t>
  </si>
  <si>
    <t>50079318_STIP_ASG_ CL_APRIL2018</t>
  </si>
  <si>
    <t>50079324_STIP_ASG_ CL_APRIL2018</t>
  </si>
  <si>
    <t>50079317_STIP_ASG_ CL_APRIL2018</t>
  </si>
  <si>
    <t>50079310_STIP_ASG_ CL_APRIL2018</t>
  </si>
  <si>
    <t>50079309_STIP_ASG_ CL_APRIL2018</t>
  </si>
  <si>
    <t>50079311_STIP_ASG_ CL_APRIL2018</t>
  </si>
  <si>
    <t>50079308_STIP_ASG_ CL_APRIL2018</t>
  </si>
  <si>
    <t>50079319_STIP_ASG_ CL_APRIL2018</t>
  </si>
  <si>
    <t>50079323_STIP_ASG_ CL_APRIL2018</t>
  </si>
  <si>
    <t>50079321_STIP_ASG_ CLAPRIL2018</t>
  </si>
  <si>
    <t>50079306_STIP_ASG_ VPB_APRIL2018</t>
  </si>
  <si>
    <t>50079304_STIP_ASG_VPC_APRIL2018</t>
  </si>
  <si>
    <t>50079305_STIP_ASG_VPC_APRIL2018</t>
  </si>
  <si>
    <t>50079303_STIP_ASG_VPG_APRIL2018</t>
  </si>
  <si>
    <t>50079320_STIP_ASG_ CL_APRIL2018</t>
  </si>
  <si>
    <t>50079322_STIP_ASG_ CL_APRIL2018</t>
  </si>
  <si>
    <t>50079302_STIP_ASG_SVP_APRIL2018</t>
  </si>
  <si>
    <t>50079307_STIP_ASG_ P_APRIL2018</t>
  </si>
  <si>
    <t>0000010861_ROBERT J. LYNCH</t>
  </si>
  <si>
    <t>50079420_T696118_ER_0000010861</t>
  </si>
  <si>
    <t>0000010962_CATHERINE ISZARD</t>
  </si>
  <si>
    <t>50080113_ISZARD27.25ASGtrvJAN18</t>
  </si>
  <si>
    <t>50080269_HUDAK26.16ASGTrvAPR18</t>
  </si>
  <si>
    <t>50080270_JACKSON42.90ASGTrvAPR18</t>
  </si>
  <si>
    <t>50080267_WILSON48.84ASGTrvAPR18</t>
  </si>
  <si>
    <t>50080264_HUNTER66.00ASGTrvAPR18</t>
  </si>
  <si>
    <t>50080271_WELDEN67.98ASGTrvAPR18</t>
  </si>
  <si>
    <t>50080268_TORRES67.98ASGTrvAPR18</t>
  </si>
  <si>
    <t>50080272_CLAYTON122.76ASGTrvAPR18</t>
  </si>
  <si>
    <t>50080274_DAVIS163.68ASGTrvAPR18</t>
  </si>
  <si>
    <t>50080486_ARS5100-2018-4</t>
  </si>
  <si>
    <t>50080527_T700559_ER_0000008629</t>
  </si>
  <si>
    <t>50080524_T700550_ER_0000008629</t>
  </si>
  <si>
    <t>50080602_STEMBER26.16ASGTrvAPR18</t>
  </si>
  <si>
    <t>50080605_WOODS42.62ASGTrvAPR18</t>
  </si>
  <si>
    <t>50080604_FULMORE42.90ASGTrvAPR18</t>
  </si>
  <si>
    <t>50080603_ISZARD49.50ASGTrvAPR18</t>
  </si>
  <si>
    <t>50080606_BATCHLER67.98ASGTrvAPR18</t>
  </si>
  <si>
    <t>50080600_TILLETT83.82ASGTrvAPR18</t>
  </si>
  <si>
    <t>50080601_OJIMADU101.64ASGTrvAPR18</t>
  </si>
  <si>
    <t>0000011049_RAEKWON L. DAVIS</t>
  </si>
  <si>
    <t>50080608_RDAVIS23.98ASGTrvAPR18</t>
  </si>
  <si>
    <t>50080253_THORNTON56.10ASGTrvAPR18</t>
  </si>
  <si>
    <t>50080073_MEIGHEN934.59ASGTripMAR18</t>
  </si>
  <si>
    <t>50080827_HARDIN592.98ASGTrvAPR18</t>
  </si>
  <si>
    <t>0000011063_MCKENLEY GRACE WEBB</t>
  </si>
  <si>
    <t>50080988_WEBB194.04ASGTrvAPR18</t>
  </si>
  <si>
    <t>Employee Moving Expense</t>
  </si>
  <si>
    <t>50081401_KMitchell2000.00MovingMay2018</t>
  </si>
  <si>
    <t>ASG FEES_SPR 18_ASU</t>
  </si>
  <si>
    <t>GAMSC_8644</t>
  </si>
  <si>
    <t>50081655_STIP_ASG_ CL_MAY2018</t>
  </si>
  <si>
    <t>50081663_STIP_ASG_ CL_MAY2018</t>
  </si>
  <si>
    <t>50081659_STIP_ASG_ CL_MAY2018</t>
  </si>
  <si>
    <t>50081653_STIP_ASG_ CL_MAY2018</t>
  </si>
  <si>
    <t>50081650_STIP_ASG_ CL_MAY2018</t>
  </si>
  <si>
    <t>50081656_STIP_ASG_ CL_MAY2018</t>
  </si>
  <si>
    <t>50081649_STIP_ASG_ CL_MAY2018</t>
  </si>
  <si>
    <t>50081658_STIP_ASG_ CL_MAY2018</t>
  </si>
  <si>
    <t>50081654_STIP_ASG_ CL_MAY2018</t>
  </si>
  <si>
    <t>50081657_STIP_ASG_ CL_MAY2018</t>
  </si>
  <si>
    <t>50081651_STIP_ASG_ CL_MAY2018</t>
  </si>
  <si>
    <t>50081652_STIP_ASG_ CL_MAY2018</t>
  </si>
  <si>
    <t>50081662_STIP_ASG_ CL_MAY2018</t>
  </si>
  <si>
    <t>50081660_STIP_ASG_ CL_MAY2018</t>
  </si>
  <si>
    <t>50081646_STIP_ASG_VPC_MAY2018</t>
  </si>
  <si>
    <t>50081648_STIP_ASG_ VPB_MAY2018</t>
  </si>
  <si>
    <t>50081647_STIP_ASG_VPC_MAY2018</t>
  </si>
  <si>
    <t>50081661_STIP_ASG_ CL_MAY2018</t>
  </si>
  <si>
    <t>50081645_STIP_ASG_SVP_MAY2018</t>
  </si>
  <si>
    <t>0000006076_HOLIDAY INN &amp; SUITES  (Cary)</t>
  </si>
  <si>
    <t>50081715_15158</t>
  </si>
  <si>
    <t>0000006136_MEDITERRANEAN DELI</t>
  </si>
  <si>
    <t>50081882_148485</t>
  </si>
  <si>
    <t>50082241_14508</t>
  </si>
  <si>
    <t>50082268_BNjaramba38.26ASGTrvMAY18</t>
  </si>
  <si>
    <t>50082270_OTorres68.64ASGTrvMAY18</t>
  </si>
  <si>
    <t>50082269_AClayton110.88ASGTrvMAY18</t>
  </si>
  <si>
    <t>29-MAY-2018_1</t>
  </si>
  <si>
    <t>50082372_385914</t>
  </si>
  <si>
    <t>0000011112_KAREE BROWN-JONES</t>
  </si>
  <si>
    <t>50082352_KBrown-Jones46.46ASGTrvMAY18</t>
  </si>
  <si>
    <t>0000011114_DEJON MCCOY-MILLBOURNE</t>
  </si>
  <si>
    <t>50082354_DMccoy46.86ASGTrvMAY18</t>
  </si>
  <si>
    <t>0000011113_NIAYAI LAVIEN</t>
  </si>
  <si>
    <t>50082353_NLavien89.10ASGTrvMAY18</t>
  </si>
  <si>
    <t>0000011115_SAMAYA ROARY</t>
  </si>
  <si>
    <t>50082355_SRoary104.94ASGTrvMAY18</t>
  </si>
  <si>
    <t>50082351_434X800004260</t>
  </si>
  <si>
    <t>50082511_HT2930MAY2018</t>
  </si>
  <si>
    <t>Software Subscriptions</t>
  </si>
  <si>
    <t>50082509_MEIGHEN117.00ReimWixJUNE18</t>
  </si>
  <si>
    <t>Supplies-Educational/Research</t>
  </si>
  <si>
    <t>50082510_MEIGHEN173.04ReimASGJUNE18</t>
  </si>
  <si>
    <t>50082607_AR5100-2018-5</t>
  </si>
  <si>
    <t>50082913_UNCBOAMAY2018</t>
  </si>
  <si>
    <t>Rent/Lease-Conference Room</t>
  </si>
  <si>
    <t>0000011098_NFII/CEI RALEIGH OPCO, LLC DBA THE STATE</t>
  </si>
  <si>
    <t>50082198_9020</t>
  </si>
  <si>
    <t>50083386_STIP_ASG_SVP_JUNE2018</t>
  </si>
  <si>
    <t>50083387_STIP_ASG_ P_JUNE2018</t>
  </si>
  <si>
    <t>50083520_387004</t>
  </si>
  <si>
    <t>50083547_AR5100-2018-6</t>
  </si>
  <si>
    <t>50083749_Meighen737.13ASGReimJun18</t>
  </si>
  <si>
    <t>0000465780_25-JUN-2018</t>
  </si>
  <si>
    <t>ASG FEE SP18 UNC-W</t>
  </si>
  <si>
    <t>GAMSC_9015</t>
  </si>
  <si>
    <t>22-JUN-2018_1</t>
  </si>
  <si>
    <t>11% Admin Serv Fee 4th qrt 18</t>
  </si>
  <si>
    <t>ASF0468358_30-JUN-2018</t>
  </si>
  <si>
    <t>50083732_NJARAMBA65.20JUNE18</t>
  </si>
  <si>
    <t>50084869_138137</t>
  </si>
  <si>
    <t>50084982_STIP_ASG_SVP_JULY2018</t>
  </si>
  <si>
    <t>50084983_STIP_ASG_ P_JULY2018</t>
  </si>
  <si>
    <t>27-JUL-2018_1</t>
  </si>
  <si>
    <t>Account</t>
  </si>
  <si>
    <t>50085570_ASG-46-80</t>
  </si>
  <si>
    <t>50085612_AR5100-2018-7</t>
  </si>
  <si>
    <t>Institution Dues - MembershiPS</t>
  </si>
  <si>
    <t>0000006014_NATIONAL ASSOC OF STUD PERSONNEL ADMIN</t>
  </si>
  <si>
    <t>50085611_0122809</t>
  </si>
  <si>
    <t>0000011223_AMERICAN COLLEGE PERSONNEL ASSOCIATION</t>
  </si>
  <si>
    <t>50085733_INV-MBR0064340</t>
  </si>
  <si>
    <t>50085453_BNjaramba44.76BOGJuly18</t>
  </si>
  <si>
    <t>50086006_MDavis151.14BOGJuly18</t>
  </si>
  <si>
    <t>50086069_MOpinski182.16BOGJuly18</t>
  </si>
  <si>
    <t>0000006453_NORTH CAROLINA AGRICULTURAL AND TECHNICA</t>
  </si>
  <si>
    <t>50033077_ASG-44-04</t>
  </si>
  <si>
    <t>ASG COLLECTIONS SUMMER 2018</t>
  </si>
  <si>
    <t>GAMSC_9304</t>
  </si>
  <si>
    <t>ASG PAYMENT SUMMER 2018_UNCC</t>
  </si>
  <si>
    <t>GAMSC_9322</t>
  </si>
  <si>
    <t>ASG PAYMENT SUMMER 2018 _FSU</t>
  </si>
  <si>
    <t>GAMSC_9332</t>
  </si>
  <si>
    <t>ASG FEE SUMMER 2018_ECU</t>
  </si>
  <si>
    <t>GAMSC_9331</t>
  </si>
  <si>
    <t>ASG FEE_NCSU</t>
  </si>
  <si>
    <t>GAMSC_9341</t>
  </si>
  <si>
    <t>ASG FEE SUMMER 2018_WCU</t>
  </si>
  <si>
    <t>GAMSC_9352</t>
  </si>
  <si>
    <t>50086581_STIP_ASG_SVP_AUGUST2018</t>
  </si>
  <si>
    <t>50086582_STIP_ASG_ P_AUGUST2018</t>
  </si>
  <si>
    <t>ASG FEE SUMMER 2018_UNCG</t>
  </si>
  <si>
    <t>GAMSC_9362</t>
  </si>
  <si>
    <t>50086638_RDavis31.98ASGAugust2018</t>
  </si>
  <si>
    <t>50086637_AClayton129.12ASGAugust2018</t>
  </si>
  <si>
    <t>0000011244_JACOB NEWTON</t>
  </si>
  <si>
    <t>50086639_JNewton89.52ASGAugust2018</t>
  </si>
  <si>
    <t>0000011245_HOLLAN STREPAY</t>
  </si>
  <si>
    <t>50086728_HStrepay31.98ASGAugust2018</t>
  </si>
  <si>
    <t>50086725_BNjaramba31.98ASGAugust2018</t>
  </si>
  <si>
    <t>0000011247_TYLER MATTHEW BEASLEY</t>
  </si>
  <si>
    <t>50086731_TBeasley90.84ASGAugust2018</t>
  </si>
  <si>
    <t>50086716_DVandergrift54.54ASGAugust2018</t>
  </si>
  <si>
    <t>50086719_TWelden73.02ASGAugust2018</t>
  </si>
  <si>
    <t>50086714_VOjimadu108.66ASGAugust2018</t>
  </si>
  <si>
    <t>50086717_HT2930AUG2018</t>
  </si>
  <si>
    <t>50086860_AStrahan129.12ASGAugust2018</t>
  </si>
  <si>
    <t>50086921_OMensah121.20ASGAugust2018</t>
  </si>
  <si>
    <t>0000011248_JORDEN REVELS</t>
  </si>
  <si>
    <t>50087120_JRevels90.65ASGAugust2018</t>
  </si>
  <si>
    <t>ASG FEE SUMMER 18</t>
  </si>
  <si>
    <t>GAMSC_9432</t>
  </si>
  <si>
    <t>29-AUG-2018_1</t>
  </si>
  <si>
    <t>0000004723_CAFE CAROLINA &amp; BAKERY</t>
  </si>
  <si>
    <t>50086622_7796-721</t>
  </si>
  <si>
    <t>50087277_3389367289</t>
  </si>
  <si>
    <t>0000011246_AVERY WALTER</t>
  </si>
  <si>
    <t>50087284_AWalter46.16ASGAugust2018</t>
  </si>
  <si>
    <t>ASG FEES SUMMER I&amp;II 2018</t>
  </si>
  <si>
    <t>GAMSC_9464</t>
  </si>
  <si>
    <t>ASG FEES SUMMER I&amp;II 2017</t>
  </si>
  <si>
    <t>ASG FEES SPRING 2018</t>
  </si>
  <si>
    <t>ASG FEES FALL 2018</t>
  </si>
  <si>
    <t>50087399_434X800004376</t>
  </si>
  <si>
    <t>ASG FEE FALL 2018 UNC PEMBROKE</t>
  </si>
  <si>
    <t>GAMSC_9484</t>
  </si>
  <si>
    <t>50088540_STIP_ASG_MSIR_SEPTEMBER2018</t>
  </si>
  <si>
    <t>50088537_STIP_ASG_VPCO_SEPTEMBER2018</t>
  </si>
  <si>
    <t>50088538_STIP_ASG_VPBF_SEPTEMBER2018</t>
  </si>
  <si>
    <t>50088535_STIP_ASG_VPGO_SEPTEMBER2018</t>
  </si>
  <si>
    <t>50088539_STIP_ASG_GSR_SEPTEMBER2018</t>
  </si>
  <si>
    <t>50088536_STIP_ASG_VPMO_SEPTEMBER2018</t>
  </si>
  <si>
    <t>50088534_STIP_ASG_COS_SEPTEMBER2018</t>
  </si>
  <si>
    <t>50088532_STIP_ASG_SVP_SEPTEMBER2018</t>
  </si>
  <si>
    <t>50088533_STIP_ASG_ P_SEPTEMBER2018</t>
  </si>
  <si>
    <t>FALL 2018 ASG COLLECTIONS_UNCA</t>
  </si>
  <si>
    <t>GAMSC_9589</t>
  </si>
  <si>
    <t>ASG FEES FALL 2018_UNCG</t>
  </si>
  <si>
    <t>GAMSC_9610</t>
  </si>
  <si>
    <t>26-SEP-2018_1</t>
  </si>
  <si>
    <t>ASG FALL 18_UNCC</t>
  </si>
  <si>
    <t>GAMSC_9616</t>
  </si>
  <si>
    <t>50086902_KMitchell47.65ASGAugust2018</t>
  </si>
  <si>
    <t>50087162_434X800004435</t>
  </si>
  <si>
    <t>ASG FALL 2018_FSU</t>
  </si>
  <si>
    <t>GAMSC_9628</t>
  </si>
  <si>
    <t>ASG FALL 2018 FEES_ECU</t>
  </si>
  <si>
    <t>GAMSC_9629</t>
  </si>
  <si>
    <t>ASG FALL18 _NCSU</t>
  </si>
  <si>
    <t>GAMSC_9673</t>
  </si>
  <si>
    <t>ASG FEE SUMMER 18_WSSU</t>
  </si>
  <si>
    <t>GAMSC_9714</t>
  </si>
  <si>
    <t>ASG FEE FALL 18_WSSU</t>
  </si>
  <si>
    <t>ASG SUMMER18_NCA&amp;T</t>
  </si>
  <si>
    <t>GAMSC_9752</t>
  </si>
  <si>
    <t>ASG FALL18_NCA&amp;T</t>
  </si>
  <si>
    <t>50090831_KMitchell46.60ASGOct18</t>
  </si>
  <si>
    <t>50090820_TBeasley60.72ASGOct18</t>
  </si>
  <si>
    <t>50090830_AWalter111.54ASGOct18</t>
  </si>
  <si>
    <t>50090828_HStrepay126.06ASGOct18</t>
  </si>
  <si>
    <t>50090837_BNjaramba126.06ASGOct18</t>
  </si>
  <si>
    <t>50090834_OMensah139.92ASGOct18</t>
  </si>
  <si>
    <t>50090836_TWelden178.86ASGOct18</t>
  </si>
  <si>
    <t>50090778_4681</t>
  </si>
  <si>
    <t>50090832_VOjimadu212.52ASGOct18</t>
  </si>
  <si>
    <t>50090835_AClayton234.30ASGOct18</t>
  </si>
  <si>
    <t>50090833_MOpinski304.92ASGOct18</t>
  </si>
  <si>
    <t>ASG FEE_NCSA</t>
  </si>
  <si>
    <t>GAMSC_9782</t>
  </si>
  <si>
    <t>ASG FALL18_WCU</t>
  </si>
  <si>
    <t>GAMSC_9783</t>
  </si>
  <si>
    <t>0000010958_COLIN GRAHAM JOHNSON</t>
  </si>
  <si>
    <t>50090854_CJohnson60.72ASGOct18</t>
  </si>
  <si>
    <t>0000011306_DAVANTA TRAYVONE PARKER</t>
  </si>
  <si>
    <t>50090857_DParker126.06ASGOct18</t>
  </si>
  <si>
    <t>0000011304_JOHN NOLAN DUNAGAN</t>
  </si>
  <si>
    <t>50090852_JDunagan139.92ASGOct18</t>
  </si>
  <si>
    <t>50090855_SGregg160.38ASGOct18</t>
  </si>
  <si>
    <t>0000011308_OLIVIA TARPLEY</t>
  </si>
  <si>
    <t>50090858_OTarpley161.04ASGOct18</t>
  </si>
  <si>
    <t>50090853_OTorres161.70ASGOct18</t>
  </si>
  <si>
    <t>0000011305_TAVONTE GRAY</t>
  </si>
  <si>
    <t>50090856_TGray177.54ASGOct18</t>
  </si>
  <si>
    <t>50090851_AStrahan234.30ASGOct18</t>
  </si>
  <si>
    <t>50090944_STIP_ASG_MSIR_OCTOBER2018</t>
  </si>
  <si>
    <t>50090939_STIP_ASG_VPGO_OCTOBER2018</t>
  </si>
  <si>
    <t>50090941_STIP_ASG_VPCO_OCTOBER2018</t>
  </si>
  <si>
    <t>50090942_STIP_ASG_VPBF_OCTOBER2018</t>
  </si>
  <si>
    <t>50090943_STIP_ASG_GSR_OCTOBER2018</t>
  </si>
  <si>
    <t>50090940_STIP_ASG_VPMO_OCTOBER2018</t>
  </si>
  <si>
    <t>50090938_STIP_ASG_COS_OCTOBER2018</t>
  </si>
  <si>
    <t>50090936_STIP_ASG_SVP_OCTOBER2018</t>
  </si>
  <si>
    <t>50090937_STIP_ASG_ P_OCTOBER2018</t>
  </si>
  <si>
    <t>50091414_AR5100-2018-10</t>
  </si>
  <si>
    <t>29-OCT-2018_1</t>
  </si>
  <si>
    <t>0000004601_HAMPTON INN  &amp; SUITES CHAPEL HILL- CARRB</t>
  </si>
  <si>
    <t>50090898_320/SXBL</t>
  </si>
  <si>
    <t>50092028_434X800004375</t>
  </si>
  <si>
    <t>50092221_T724394_ER_0000010852</t>
  </si>
  <si>
    <t>0000006451_ELIZABETH CITY STATE UNIVERSITY</t>
  </si>
  <si>
    <t>50092780_ECSUSA1056.00ASGNovember18</t>
  </si>
  <si>
    <t>50093108_STIP_ASG_LIAISON_NOVEMBER2018</t>
  </si>
  <si>
    <t>0000011322_JELANI HOLLOWAY</t>
  </si>
  <si>
    <t>50093114_STIP_ASG_LIAISON_NOVEMBER2018</t>
  </si>
  <si>
    <t>0000011341_MICHAEL CHRISTOPHER DAVIS</t>
  </si>
  <si>
    <t>50093104_STIP_ASG_LIAISON_NOVEMBER2018</t>
  </si>
  <si>
    <t>0000011319_KAYLENE MARIE VILLAMER LEE</t>
  </si>
  <si>
    <t>50093111_STIP_ASG_LIAISON_NOVEMBER2018</t>
  </si>
  <si>
    <t>0000011317_MARJORIE SEGULE</t>
  </si>
  <si>
    <t>50093110_STIP_ASG_LIAISON_NOVEMBER2018</t>
  </si>
  <si>
    <t>0000011318_KENDALL BURT</t>
  </si>
  <si>
    <t>50093117_STIP_ASG_LIAISON_NOVEMBER2018</t>
  </si>
  <si>
    <t>0000011324_DAMON WESTRAY</t>
  </si>
  <si>
    <t>50093109_STIP_ASG_LIAISON_NOVEMBER2018</t>
  </si>
  <si>
    <t>0000011323_GRISHMA PATEL</t>
  </si>
  <si>
    <t>50093120_STIP_ASG_LIAISON_NOVEMBER2018</t>
  </si>
  <si>
    <t>0000011320_ALYSSA FLOYD</t>
  </si>
  <si>
    <t>50093112_STIP_ASG_LIAISON_NOVEMBER2018</t>
  </si>
  <si>
    <t>0000011353_HASSAANAH KERSEY</t>
  </si>
  <si>
    <t>50093107_STIP_ASG_LIAISON_NOVEMBER2018</t>
  </si>
  <si>
    <t>50093118_STIP_ASG_LIAISON_NOVEMBER2018</t>
  </si>
  <si>
    <t>0000011348_KEILY ARIANA RAMIREZ</t>
  </si>
  <si>
    <t>50093115_STIP_ASG_LIAISON_NOVEMBER2018</t>
  </si>
  <si>
    <t>0000011316_KHYA KORNEGAY</t>
  </si>
  <si>
    <t>50093106_STIP_ASG_LIAISON_NOVEMBER2018</t>
  </si>
  <si>
    <t>0000011343_OLUWATOBILOBA KALEJAIYE</t>
  </si>
  <si>
    <t>50093113_STIP_ASG_LIAISON_NOVEMBER2018</t>
  </si>
  <si>
    <t>0000011342_LUKE HAIGH</t>
  </si>
  <si>
    <t>50093116_STIP_ASG_LIAISON_NOVEMBER2018</t>
  </si>
  <si>
    <t>50093105_STIP_ASG_LIAISON_NOVEMBER2018</t>
  </si>
  <si>
    <t>0000011340_TRAMAINE R. GRAY</t>
  </si>
  <si>
    <t>50093119_STIP_ASG_LIAISON_NOVEMBER2018</t>
  </si>
  <si>
    <t>50093158_4706</t>
  </si>
  <si>
    <t>50093100_STIP_ASG_VPCO_NOVEMBER2018</t>
  </si>
  <si>
    <t>50093099_STIP_ASG_VPMO_NOVEMBER2018</t>
  </si>
  <si>
    <t>50093101_STIP_ASG_VPBF_NOVEMBER2018</t>
  </si>
  <si>
    <t>50093102_STIP_ASG_GSR_NOVEMBER2018</t>
  </si>
  <si>
    <t>50093098_STIP_ASG_VPGO_NOVEMBER2018</t>
  </si>
  <si>
    <t>50093103_STIP_ASG_MSIR_NOVEMBER2018</t>
  </si>
  <si>
    <t>50093097_STIP_ASG_COS_NOVEMBER2018</t>
  </si>
  <si>
    <t>50093095_STIP_ASG_SVP_NOVEMBER2018</t>
  </si>
  <si>
    <t>50093159_4701</t>
  </si>
  <si>
    <t>50093096_STIP_ASG_ P_NOVEMBER2018</t>
  </si>
  <si>
    <t>50093151_ASG4707</t>
  </si>
  <si>
    <t>50093236_AStrahan133.98ASGNov18</t>
  </si>
  <si>
    <t>50093238_AClayton133.98ASGNov18</t>
  </si>
  <si>
    <t>50093576_AR5100-2018-11</t>
  </si>
  <si>
    <t>28-NOV-2018_1</t>
  </si>
  <si>
    <t>50093569_KMITCHELL230.98NOV18</t>
  </si>
  <si>
    <t>50093218_RDavis17.50BOGNovember2018</t>
  </si>
  <si>
    <t>50093202_SRoary36.96BOGNov2018</t>
  </si>
  <si>
    <t>50093228_AWALTER43.56NOV18</t>
  </si>
  <si>
    <t>50093571_KJones50.82BOGNov2018</t>
  </si>
  <si>
    <t>50093156_KBrown-Jones50.82BOGNovember18</t>
  </si>
  <si>
    <t>50093223_OTORRES51.24NOV18</t>
  </si>
  <si>
    <t>50093237_HStrepay58.74ASGNov18</t>
  </si>
  <si>
    <t>0000011368_JAMIE WOMACK</t>
  </si>
  <si>
    <t>50093241_JWomack60.72ASGNov18</t>
  </si>
  <si>
    <t>50093234_SRoary62.04ASGNov18</t>
  </si>
  <si>
    <t>50093242_OMensah62.04ASGNov18</t>
  </si>
  <si>
    <t>50093226_OTorres67.32BOGNov18</t>
  </si>
  <si>
    <t>50093240_TBeasley73.92ASGNov18</t>
  </si>
  <si>
    <t>50093233_C.Johnson73.92ASGNov18</t>
  </si>
  <si>
    <t>50093232_TGray75.90ASGNov18</t>
  </si>
  <si>
    <t>50093230_TWelden75.90ASGNov18</t>
  </si>
  <si>
    <t>50093224_TGRAY76.56NOV18</t>
  </si>
  <si>
    <t>50093239_VOjimadu87.12ASGNov18</t>
  </si>
  <si>
    <t>50093243_CTillett100.32BOGNov18</t>
  </si>
  <si>
    <t>50093201_AClayton110.88BOGOct2018</t>
  </si>
  <si>
    <t>50093572_MDavis133.98ASGNov18</t>
  </si>
  <si>
    <t>0000005291_LEONARDO HOTEL ONE LLC dba FAIRFIELD</t>
  </si>
  <si>
    <t>50093207_434X800004518</t>
  </si>
  <si>
    <t>50093161_4703</t>
  </si>
  <si>
    <t>0000011339_JELISA MONTALVO dba DOROTHY'S CATERING 2</t>
  </si>
  <si>
    <t>50092047_1237</t>
  </si>
  <si>
    <t>50093160_4704</t>
  </si>
  <si>
    <t>0000011372_PERIOD AT NC STATE</t>
  </si>
  <si>
    <t>50093219_4702</t>
  </si>
  <si>
    <t>50093720_NLavien90.42BOGNov18</t>
  </si>
  <si>
    <t>50093721_4705</t>
  </si>
  <si>
    <t>50093755_T729414_ER_0000010852</t>
  </si>
  <si>
    <t>0000011382_BRYAN MCCOLLOM</t>
  </si>
  <si>
    <t>50093762_BMcCollom87.12ASGNov18</t>
  </si>
  <si>
    <t>0000011381_CHORN MELVIN POYNER</t>
  </si>
  <si>
    <t>50093761_CPoyner136.62ASGNov18</t>
  </si>
  <si>
    <t>0000011370_NEWPORT RAMSEY MGMT LLC dba FAIRFIELD IN</t>
  </si>
  <si>
    <t>50093797_434L700003300</t>
  </si>
  <si>
    <t>50094005_T729407_ER_0000010882</t>
  </si>
  <si>
    <t>0000004601_HAMPTON INN</t>
  </si>
  <si>
    <t>50094213_3672911</t>
  </si>
  <si>
    <t>50094544_STIP_ASG_LIAISON_DECEMBER2018</t>
  </si>
  <si>
    <t>50094549_STIP_ASG_LIAISON_DECEMBER2018</t>
  </si>
  <si>
    <t>50094535_STIP_ASG_LIAISON_DECEMBER2018</t>
  </si>
  <si>
    <t>50094542_STIP_ASG_LIAISON_DECEMBER2018</t>
  </si>
  <si>
    <t>50094533_STIP_ASG_LIAISON_DECEMBER2018</t>
  </si>
  <si>
    <t>50094537_STIP_ASG_LIAISON_DECEMBER2018</t>
  </si>
  <si>
    <t>50094539_STIP_ASG_LIAISON_DECEMBER2018</t>
  </si>
  <si>
    <t>50094541_STIP_ASG_LIAISON_DECEMBER2018</t>
  </si>
  <si>
    <t>50094540_STIP_ASG_LIAISON_DECEMBER2018</t>
  </si>
  <si>
    <t>50094547_STIP_ASG_LIAISON_DECEMBER2018</t>
  </si>
  <si>
    <t>50094548_STIP_ASG_LIAISON_DECEMBER2018</t>
  </si>
  <si>
    <t>50094534_STIP_ASG_LIAISON_DECEMBER2018</t>
  </si>
  <si>
    <t>50094538_STIP_ASG_LIAISON_DECEMBER2018</t>
  </si>
  <si>
    <t>50094546_STIP_ASG_LIAISON_DECEMBER2018</t>
  </si>
  <si>
    <t>50094536_STIP_ASG_LIAISON_DECEMBER2018</t>
  </si>
  <si>
    <t>50094543_STIP_ASG_LIAISON_DECEMBER2018</t>
  </si>
  <si>
    <t>50094545_STIP_ASG_LIAISON_DECEMBER2018</t>
  </si>
  <si>
    <t>50094529_STIP_ASG_VPCO_DECEMBER2018</t>
  </si>
  <si>
    <t>50094531_STIP_ASG_GSR_DECEMBER2018</t>
  </si>
  <si>
    <t>50094530_STIP_ASG_VPBF_DECEMBER2018</t>
  </si>
  <si>
    <t>50094532_STIP_ASG_MSIR_DECEMBER2018</t>
  </si>
  <si>
    <t>50094528_STIP_ASG_VPMO_DECEMBER2018</t>
  </si>
  <si>
    <t>50094527_STIP_ASG_VPGO_DECEMBER2018</t>
  </si>
  <si>
    <t>50094526_STIP_ASG_COS_DECEMBER2018</t>
  </si>
  <si>
    <t>50094524_STIP_ASG_SVP_DECEMBER2018</t>
  </si>
  <si>
    <t>50094525_STIP_ASG_ P_DECEMBER2018</t>
  </si>
  <si>
    <t>18-DEC-2018_1</t>
  </si>
  <si>
    <t>0000011367_CAROLINE BREWTON</t>
  </si>
  <si>
    <t>50093759_CBrewton10.03ASGNov18</t>
  </si>
  <si>
    <t>50093760_CBrewton14.50ASGNov18</t>
  </si>
  <si>
    <t>50095018_JDunagan62.04ASGNov18</t>
  </si>
  <si>
    <t>50095084_HStrepay10.90BOGDec18</t>
  </si>
  <si>
    <t>50095090_BNjaramba21.80BOGDec18</t>
  </si>
  <si>
    <t>50095092_SRoary36.96BOGDec18</t>
  </si>
  <si>
    <t>50095089_VOjimadu90.42BOGDec18</t>
  </si>
  <si>
    <t>50095094_CTillett100.32BOGDec18</t>
  </si>
  <si>
    <t>50095087_AClayton110.88BOGDec18</t>
  </si>
  <si>
    <t>0000011309_GREER A. HUTCHISON</t>
  </si>
  <si>
    <t>50095083_GHutchison178.86ASGOct2018</t>
  </si>
  <si>
    <t>50095256_AR5100-2018-12</t>
  </si>
  <si>
    <t>50096008_4709</t>
  </si>
  <si>
    <t>50096218_STIP_ASG_LIAISON_JANUARY2019</t>
  </si>
  <si>
    <t>50096211_STIP_ASG_MSIR_JANUARY2019</t>
  </si>
  <si>
    <t>50096212_STIP_ASG_MSIR_JANUARY2019</t>
  </si>
  <si>
    <t>50096207_STIP_ASG_MSIR_JANUARY2019</t>
  </si>
  <si>
    <t>50096208_STIP_ASG_MSIR_JANUARY2019</t>
  </si>
  <si>
    <t>50096210_STIP_ASG_MSIR_JANUARY2019</t>
  </si>
  <si>
    <t>50096203_STIP_ASG_MSIR_JANUARY2019</t>
  </si>
  <si>
    <t>50096209_STIP_ASG_MSIR_JANUARY2019</t>
  </si>
  <si>
    <t>50096216_STIP_ASG_MSIR_JANUARY2019</t>
  </si>
  <si>
    <t>50096202_STIP_ASG_MSIR_JANUARY2019</t>
  </si>
  <si>
    <t>50096206_STIP_ASG_MSIR_JANUARY2019</t>
  </si>
  <si>
    <t>50096205_STIP_ASG_MSIR_JANUARY2019</t>
  </si>
  <si>
    <t>50096217_STIP_ASG_MSIR_JANUARY2019</t>
  </si>
  <si>
    <t>50096214_STIP_ASG_MSIR_JANUARY2019</t>
  </si>
  <si>
    <t>50096204_STIP_ASG_MSIR_JANUARY2019</t>
  </si>
  <si>
    <t>50096213_STIP_ASG_MSIR_JANUARY2019</t>
  </si>
  <si>
    <t>50096215_STIP_ASG_MSIR_JANUARY2019</t>
  </si>
  <si>
    <t>50096196_STIP_ASG_VPGO_JANUARY2019</t>
  </si>
  <si>
    <t>50096198_STIP_ASG_VPCO_JANUARY2019</t>
  </si>
  <si>
    <t>50096201_STIP_ASG_MSIR_JANUARY2019</t>
  </si>
  <si>
    <t>50096197_STIP_ASG_VPMO_JANUARY2019</t>
  </si>
  <si>
    <t>50096200_STIP_ASG_GSR_JANUARY2019</t>
  </si>
  <si>
    <t>50096199_STIP_ASG_VPBF_JANUARY2019</t>
  </si>
  <si>
    <t>50096195_STIP_ASG_COS_JANUARY2019</t>
  </si>
  <si>
    <t>50096193_STIP_ASG_SVP_JANUARY2019</t>
  </si>
  <si>
    <t>50096194_STIP_ASG_ P_JANUARY2019</t>
  </si>
  <si>
    <t>23-JAN-2019_91</t>
  </si>
  <si>
    <t>23-JAN-2019_92</t>
  </si>
  <si>
    <t>23-JAN-2019_93</t>
  </si>
  <si>
    <t>23-JAN-2019_94</t>
  </si>
  <si>
    <t>23-JAN-2019_90</t>
  </si>
  <si>
    <t>23-JAN-2019_101</t>
  </si>
  <si>
    <t>23-JAN-2019_102</t>
  </si>
  <si>
    <t>23-JAN-2019_96</t>
  </si>
  <si>
    <t>23-JAN-2019_99</t>
  </si>
  <si>
    <t>23-JAN-2019_100</t>
  </si>
  <si>
    <t>23-JAN-2019_98</t>
  </si>
  <si>
    <t>23-JAN-2019_97</t>
  </si>
  <si>
    <t>23-JAN-2019_95</t>
  </si>
  <si>
    <t>0000005291_LEONARDO HOTEL ONE, LLC dba FAIRFIELD</t>
  </si>
  <si>
    <t>50096565_434x800004675</t>
  </si>
  <si>
    <t>50097196_AR5100-2019-1</t>
  </si>
  <si>
    <t>25-JAN-2019_1</t>
  </si>
  <si>
    <t>50097329_BNjaramba35.64ASGJan19</t>
  </si>
  <si>
    <t>0000011449_TORANDO V. YOUNG</t>
  </si>
  <si>
    <t>50097330_TYoung35.96ASGJan19</t>
  </si>
  <si>
    <t>50097333_AWalter49.50ASGJan19</t>
  </si>
  <si>
    <t>50097327_VOjimadu56.10ASGJan19</t>
  </si>
  <si>
    <t>50097320_AClayton77.22ASGJan19</t>
  </si>
  <si>
    <t>50097319_AStrahan77.22ASGJan19</t>
  </si>
  <si>
    <t>50096564_434X800004674</t>
  </si>
  <si>
    <t>50097323_KRamirez86.46ASGJan19</t>
  </si>
  <si>
    <t>50097321_CJohnson105.60ASGJan19</t>
  </si>
  <si>
    <t>50097324_CTillett134.64ASGJan19</t>
  </si>
  <si>
    <t>50097326_OMensah134.64ASGJan19</t>
  </si>
  <si>
    <t>50097322_CPoyner160.38ASGJan19</t>
  </si>
  <si>
    <t>50097325_MOpinski166.32ASGJan19</t>
  </si>
  <si>
    <t>Travel Bd Non Emp Other</t>
  </si>
  <si>
    <t>50097303_2064-2478</t>
  </si>
  <si>
    <t>50095110_5665800006408</t>
  </si>
  <si>
    <t>50097304_23675</t>
  </si>
  <si>
    <t>50097466_434X800004751</t>
  </si>
  <si>
    <t>ASG TRAVEL REIM_M.DAVIS</t>
  </si>
  <si>
    <t>GAMSC_10443</t>
  </si>
  <si>
    <t>0000011459_SAVANNAH PUTNAM</t>
  </si>
  <si>
    <t>50097740_SPutnam36.30ASGJanuary18</t>
  </si>
  <si>
    <t>50097733_MDavis77.22ASGJanuary18</t>
  </si>
  <si>
    <t>ASG FEE</t>
  </si>
  <si>
    <t>GAMSC_10470</t>
  </si>
  <si>
    <t>0000011467_CHILD RIGHTS AND YOU AT NORTH CAROLINA S</t>
  </si>
  <si>
    <t>50097873_4708</t>
  </si>
  <si>
    <t>0000011473_JESSE ERRICO</t>
  </si>
  <si>
    <t>50098069_JErrico49.50ASGJan19</t>
  </si>
  <si>
    <t>50098106_4714</t>
  </si>
  <si>
    <t>50098107_4715</t>
  </si>
  <si>
    <t>50098108_4716</t>
  </si>
  <si>
    <t>0000006456_UNIVERSITY NORTH CAROLINA- CHARLOTTE</t>
  </si>
  <si>
    <t>50098109_4717</t>
  </si>
  <si>
    <t>0000011205_WILLIAM J ZAHRAN</t>
  </si>
  <si>
    <t>50098371_T737511_ER_0000011205</t>
  </si>
  <si>
    <t>50098370_T737503_ER_0000010852</t>
  </si>
  <si>
    <t>ASG FEE_UNCA</t>
  </si>
  <si>
    <t>GAMSC_10508</t>
  </si>
  <si>
    <t>ASG FEE_ECU</t>
  </si>
  <si>
    <t>GAMSC_10521</t>
  </si>
  <si>
    <t>ASG _UNCC</t>
  </si>
  <si>
    <t>GAMSC_10522</t>
  </si>
  <si>
    <t>50098522_STIP_ASG_LIAISON_FEBRUARY2019</t>
  </si>
  <si>
    <t>50098519_STIP_ASG_LIAISON_FEBRUARY2019</t>
  </si>
  <si>
    <t>50098520_STIP_ASG_LIAISON_FEBRUARY2019</t>
  </si>
  <si>
    <t>50098524_STIP_ASG_LIAISON_FEBRUARY2019</t>
  </si>
  <si>
    <t>50098523_STIP_ASG_LIAISON_FEBRUARY2019</t>
  </si>
  <si>
    <t>50098526_STIP_ASG_LIAISON_FEBRUARY2019</t>
  </si>
  <si>
    <t>50098527_STIP_ASG_LIAISON_FEBRUARY2019</t>
  </si>
  <si>
    <t>50098517_STIP_ASG_LIAISON_FEBRUARY2019</t>
  </si>
  <si>
    <t>50098516_STIP_ASG_LIAISON_FEBRUARY2019</t>
  </si>
  <si>
    <t>50098530_STIP_ASG_LIAISON_FEBRUARY2019</t>
  </si>
  <si>
    <t>50098518_STIP_ASG_LIAISON_FEBRUARY2019</t>
  </si>
  <si>
    <t>50098528_STIP_ASG_LIAISON_FEBRUARY2019</t>
  </si>
  <si>
    <t>50098525_STIP_ASG_LIAISON_FEBRUARY2019</t>
  </si>
  <si>
    <t>50098531_STIP_ASG_LIAISON_FEBRUARY2019</t>
  </si>
  <si>
    <t>50098529_STIP_ASG_LIAISON_FEBRUARY2019</t>
  </si>
  <si>
    <t>50098521_STIP_ASG_LIAISONFEBRUARY2019</t>
  </si>
  <si>
    <t>50098512_STIP_ASG_VPCO_FEBRUARY2019</t>
  </si>
  <si>
    <t>50098515_STIP_ASG_MSIR_FEBRUARY2019</t>
  </si>
  <si>
    <t>50098514_STIP_ASG_GSR_FEBRUARY2019</t>
  </si>
  <si>
    <t>50098510_STIP_ASG_VPGO_FEBRUARY2019</t>
  </si>
  <si>
    <t>50098513_STIP_ASG_VPBF_FEBRUARY2019</t>
  </si>
  <si>
    <t>50098511_STIP_ASG_VPMO_FEBRUARY2019</t>
  </si>
  <si>
    <t>50098509_STIP_ASG_COS_FEBRUARY2019</t>
  </si>
  <si>
    <t>50098507_STIP_ASG_SVP_FEBRUARY2019</t>
  </si>
  <si>
    <t>50098508_STIP_ASG_ P_FEBRUARY2019</t>
  </si>
  <si>
    <t>ASG FEE_UNCG</t>
  </si>
  <si>
    <t>GAMSC_10529</t>
  </si>
  <si>
    <t>GAMSC_10528</t>
  </si>
  <si>
    <t>0000011485_JORDAN ALEXANDER KOONTS</t>
  </si>
  <si>
    <t>50098750_JKoonts73.26BOGJan19</t>
  </si>
  <si>
    <t>Pcard Rebate</t>
  </si>
  <si>
    <t>Pcard Rebate 2018</t>
  </si>
  <si>
    <t>0000532715_20-FEB-2019</t>
  </si>
  <si>
    <t>50099135_CTillett60.72ASGFeb19</t>
  </si>
  <si>
    <t>50099138_AWalter70.62ASGFeb19</t>
  </si>
  <si>
    <t>50099134_TYoung95.04ASGFeb19</t>
  </si>
  <si>
    <t>50099137_AStrahan149.82ASGFeb19</t>
  </si>
  <si>
    <t>50099136_MDavis149.82ASGFeb19</t>
  </si>
  <si>
    <t>ASG FEES_FSU</t>
  </si>
  <si>
    <t>GAMSC_10581</t>
  </si>
  <si>
    <t>50099193_OMensah60.72ASGFeb19</t>
  </si>
  <si>
    <t>50099196_VOjimadu72.60ASGFeb19</t>
  </si>
  <si>
    <t>50099191_RDavis75.24ASGFeb19</t>
  </si>
  <si>
    <t>50099194_SRoary83.82ASGFeb19</t>
  </si>
  <si>
    <t>0000011499_LYDEAH KEARSE</t>
  </si>
  <si>
    <t>50099190_LKearse86.46ASGFeb19</t>
  </si>
  <si>
    <t>50099195_JKoonts99.66ASGFeb19</t>
  </si>
  <si>
    <t>50099192_AClayton149.82ASGFeb19</t>
  </si>
  <si>
    <t>50099189_MWebb189.42ASGFeb19</t>
  </si>
  <si>
    <t>22-FEB-2019_1</t>
  </si>
  <si>
    <t>0000011500_HILDA KOLAWOLE</t>
  </si>
  <si>
    <t>50099197_HKolawole72.60ASGFeb19</t>
  </si>
  <si>
    <t>0000006540_UNIVERSITY NORTH CAROLINA  SCHOOL OF THE</t>
  </si>
  <si>
    <t>50095951_4710</t>
  </si>
  <si>
    <t>50099248_10614</t>
  </si>
  <si>
    <t>0000011506_MATTHEW JARVIS</t>
  </si>
  <si>
    <t>50099400_MJarvis161.70ASGFeb19</t>
  </si>
  <si>
    <t>50099405_5769</t>
  </si>
  <si>
    <t>50099641_4721</t>
  </si>
  <si>
    <t>0000006455_UNIVERSITY OF NORTH CAROLINA - ASHEVILLE</t>
  </si>
  <si>
    <t>50099642_4720</t>
  </si>
  <si>
    <t>50099647_4712</t>
  </si>
  <si>
    <t>50099689_T740873_ER_0000010852</t>
  </si>
  <si>
    <t>50100014_4725</t>
  </si>
  <si>
    <t>50100008_4723</t>
  </si>
  <si>
    <t>0000011481_NATIONAL BLACK LAW STUDENT ASSOCIATION-</t>
  </si>
  <si>
    <t>50100021_4718</t>
  </si>
  <si>
    <t>0000011522_CAROLINA CHINA NETWORK</t>
  </si>
  <si>
    <t>50100017_4724</t>
  </si>
  <si>
    <t>50100018_4722</t>
  </si>
  <si>
    <t>0000541284_18-MAR-2019</t>
  </si>
  <si>
    <t>0000011529_SIDDHAYE INC dba SLEEP INN WEST</t>
  </si>
  <si>
    <t>50100108_3690222</t>
  </si>
  <si>
    <t>ASG FEES SPRING 2019</t>
  </si>
  <si>
    <t>GAMSC_10742</t>
  </si>
  <si>
    <t>GAMSC_10746</t>
  </si>
  <si>
    <t>GAMSC_10743</t>
  </si>
  <si>
    <t>50100369_STIP_ASG_LIAISON_MARCH2019</t>
  </si>
  <si>
    <t>50100377_STIP_ASG_LIAISON_MARCH2019</t>
  </si>
  <si>
    <t>50100370_STIP_ASG_LIAISON_MARCH2019</t>
  </si>
  <si>
    <t>50100378_STIP_ASG_LIAISON_MARCH2019</t>
  </si>
  <si>
    <t>50100374_STIP_ASG_LIAISONMARCH2019</t>
  </si>
  <si>
    <t>50100384_STIP_ASG_LIAISON_MARCH2019</t>
  </si>
  <si>
    <t>50100371_STIP_ASG_LIAISON_MARCH2019</t>
  </si>
  <si>
    <t>50100373_STIP_ASG_LIAISON_MARCH2019</t>
  </si>
  <si>
    <t>50100381_STIP_ASG_LIAISON_MARCH2019</t>
  </si>
  <si>
    <t>50100372_STIP_ASG_LIAISON_MARCH2019</t>
  </si>
  <si>
    <t>50100376_STIP_ASG_LIAISON_MARCH2019</t>
  </si>
  <si>
    <t>50100379_STIP_ASG_LIAISON_MARCH2019</t>
  </si>
  <si>
    <t>50100382_STIP_ASG_LIAISON_MARCH2019</t>
  </si>
  <si>
    <t>50100375_STIP_ASG_LIAISON_MARCH2019</t>
  </si>
  <si>
    <t>50100383_STIP_ASG_LIAISON_MARCH2019</t>
  </si>
  <si>
    <t>50100380_STIP_ASG_LIAISON_MARCH2019</t>
  </si>
  <si>
    <t>50100368_STIP_ASG_MSIR_MARCH2019</t>
  </si>
  <si>
    <t>50100364_STIP_ASG_VPMO_MARCH2019</t>
  </si>
  <si>
    <t>50100386_STIP_ASG_LEADER_MARCH2019</t>
  </si>
  <si>
    <t>50100363_STIP_ASG_VPGO_MARCH2019</t>
  </si>
  <si>
    <t>0000011505_COTRAYIA HARDISON</t>
  </si>
  <si>
    <t>50100385_STIP_ASG_LEADER_MARCH2019</t>
  </si>
  <si>
    <t>50100366_STIP_ASG_VPBF_MARCH2019</t>
  </si>
  <si>
    <t>50100367_STIP_ASG_GSR_MARCH2019</t>
  </si>
  <si>
    <t>50100365_STIP_ASG_VPCO_MARCH2019</t>
  </si>
  <si>
    <t>50100362_STIP_ASG_COS_MARCH2019</t>
  </si>
  <si>
    <t>50100360_STIP_ASG_SVP_MARCH2019</t>
  </si>
  <si>
    <t>50100361_STIP_ASG_ P_MARCH2019</t>
  </si>
  <si>
    <t>50100301_4726</t>
  </si>
  <si>
    <t>ASG FEES_SUMMER18_UNCCH</t>
  </si>
  <si>
    <t>GAMSC_10770</t>
  </si>
  <si>
    <t>ASG FEES_FALL18_UNCCH</t>
  </si>
  <si>
    <t>ASG FEES_SPRING19_UNCCH</t>
  </si>
  <si>
    <t>ASG FEES_SPRING 2019_NCAT</t>
  </si>
  <si>
    <t>GAMSC_10786</t>
  </si>
  <si>
    <t>ASG SPRING 2019_UNCW</t>
  </si>
  <si>
    <t>GAMSC_10788</t>
  </si>
  <si>
    <t>ASG FALL 2018_UNCW</t>
  </si>
  <si>
    <t>50100803_AStrahan55.44ASGMarch19</t>
  </si>
  <si>
    <t>50100805_VOjimadu87.78ASGMarch19</t>
  </si>
  <si>
    <t>50100806_SRoary114.84ASGMarch19</t>
  </si>
  <si>
    <t>50100807_RDavis150.82ASGMarch19</t>
  </si>
  <si>
    <t>50100802_BNjaramba150.82ASGMarch19</t>
  </si>
  <si>
    <t>50100804_OMensah249.48ASGMarch19</t>
  </si>
  <si>
    <t>50100824_3409094474</t>
  </si>
  <si>
    <t>50100825_3409094473</t>
  </si>
  <si>
    <t>50100829_KMitchell586.25ASGMAR19</t>
  </si>
  <si>
    <t>11% Admin Serv Fee 3rd qrt 19</t>
  </si>
  <si>
    <t>ASF0548187_29-MAR-2019</t>
  </si>
  <si>
    <t>27-MAR-2019_1</t>
  </si>
  <si>
    <t>11% Admin Serv Fee 1st qrt 19</t>
  </si>
  <si>
    <t>0000547411_29-MAR-2019</t>
  </si>
  <si>
    <t>11% Admin Serv Fee 2nd qrt 19</t>
  </si>
  <si>
    <t>50100936_M.Opinski34.66ASGMarch19</t>
  </si>
  <si>
    <t>50100938_AClayton55.44ASGMarch19</t>
  </si>
  <si>
    <t>50100736_O.Kalejaiye56.10ASGJan19</t>
  </si>
  <si>
    <t>50100937_T.Young99.00ASGMarch19</t>
  </si>
  <si>
    <t>50100945_OTorres163.02ASGMarch19</t>
  </si>
  <si>
    <t>50100946_CHardison163.02ASGMarch19</t>
  </si>
  <si>
    <t>50100940_AWalter163.68ASGMarch19</t>
  </si>
  <si>
    <t>50100935_E.Carter163.68ASGMarch19</t>
  </si>
  <si>
    <t>50100939_CJohnson219.46ASGMarch19</t>
  </si>
  <si>
    <t>50100934_L.Haigh249.48ASGMarch19</t>
  </si>
  <si>
    <t>50100300_4727</t>
  </si>
  <si>
    <t>0000011498_NORTH CAROLINA CENTRAL UNIV. STUDENT</t>
  </si>
  <si>
    <t>50100012_4713</t>
  </si>
  <si>
    <t>50101295_T745381_ER_0000010852</t>
  </si>
  <si>
    <t>Travel In NC-Lodging</t>
  </si>
  <si>
    <t>50101481_BOAUNCGAMAR2019</t>
  </si>
  <si>
    <t>50101574_4728</t>
  </si>
  <si>
    <t>0000011540_SEXUALITY AND GENDER ALLIANCE</t>
  </si>
  <si>
    <t>50101571_4729</t>
  </si>
  <si>
    <t>50101741_STIP_ASG_LIAISON_APRIL2019</t>
  </si>
  <si>
    <t>50101745_STIP_ASG_LIAISON_APRIL2019</t>
  </si>
  <si>
    <t>50101735_STIP_ASG_LIAISON_APRIL2019</t>
  </si>
  <si>
    <t>50101738_STIP_ASG_LIAISON_APRIL2019</t>
  </si>
  <si>
    <t>50101736_STIP_ASG_LIAISON_APRIL2019</t>
  </si>
  <si>
    <t>50101737_STIP_ASG_LIAISON_APRIL2019</t>
  </si>
  <si>
    <t>50101743_STIP_ASG_LIAISON_APRIL2019</t>
  </si>
  <si>
    <t>50101734_STIP_ASG_LIAISON_APRIL2019</t>
  </si>
  <si>
    <t>50101748_STIP_ASG_LIAISON_APRIL2019</t>
  </si>
  <si>
    <t>50101742_STIP_ASG_LIAISON_APRIL2019</t>
  </si>
  <si>
    <t>50101746_STIP_ASG_LIAISON_APRIL2019</t>
  </si>
  <si>
    <t>50101740_STIP_ASG_LIAISON_APRIL2019</t>
  </si>
  <si>
    <t>50101747_STIP_ASG_LIAISON_APRIL2019</t>
  </si>
  <si>
    <t>50101744_STIP_ASG_LIAISON_APRIL2019</t>
  </si>
  <si>
    <t>50101739_STIP_ASG_LIAISONAPRIL2019</t>
  </si>
  <si>
    <t>50101731_STIP_ASG_VPBF_APRIL2019</t>
  </si>
  <si>
    <t>50101733_STIP_ASG_MSIR_APRIL2019</t>
  </si>
  <si>
    <t>50101749_STIP_ASG_LEADER_APRIL2019</t>
  </si>
  <si>
    <t>50101730_STIP_ASG_VPCO_APRIL2019</t>
  </si>
  <si>
    <t>50101729_STIP_ASG_VPMO_APRIL2019</t>
  </si>
  <si>
    <t>50101728_STIP_ASG_VPGO_APRIL2019</t>
  </si>
  <si>
    <t>50101750_STIP_ASG_LEADER_APRIL2019</t>
  </si>
  <si>
    <t>50101732_STIP_ASG_GSR_APRIL2019</t>
  </si>
  <si>
    <t>50101727_STIP_ASG_COS_APRIL2019</t>
  </si>
  <si>
    <t>50101725_STIP_ASG_SVP_APRIL2019</t>
  </si>
  <si>
    <t>50101726_STIP_ASG_ P_APRIL2019</t>
  </si>
  <si>
    <t>50101814_CJohnson71.94ASGApril19</t>
  </si>
  <si>
    <t>50101816_AStrahan110.22ASGApril19</t>
  </si>
  <si>
    <t>50101813_KKornegay125.74ASGApril19</t>
  </si>
  <si>
    <t>50101836_SRoary36.30ASGApril19</t>
  </si>
  <si>
    <t>50101834_OTorres75.24ASGApril19</t>
  </si>
  <si>
    <t>50101835_VOjimadu89.76ASGApril19</t>
  </si>
  <si>
    <t>50101830_MDavis110.22ASGApril19</t>
  </si>
  <si>
    <t>ASG SUMMER 2018_UNCW</t>
  </si>
  <si>
    <t>GAMSC_10956</t>
  </si>
  <si>
    <t>50101863_AWalter51.04ASGApril19</t>
  </si>
  <si>
    <t>50101867_TYoung53.46ASGApril19</t>
  </si>
  <si>
    <t>50101869_CHardison75.24ASGApril19</t>
  </si>
  <si>
    <t>50101860_OMensah99.34ASGApril19</t>
  </si>
  <si>
    <t>ASG SPRING 2018_ASU</t>
  </si>
  <si>
    <t>GAMSC_10984</t>
  </si>
  <si>
    <t>50101957_AFloyd23.20ASGApril19</t>
  </si>
  <si>
    <t>0000011601_ELIZABETH BRETHEN</t>
  </si>
  <si>
    <t>50101956_EBrethen99.34ASGApril19</t>
  </si>
  <si>
    <t>0000011598_REBECCA HART</t>
  </si>
  <si>
    <t>50101953_RHart180.84ASGApril19</t>
  </si>
  <si>
    <t>50101959_434X800004901</t>
  </si>
  <si>
    <t>50102214_4731</t>
  </si>
  <si>
    <t>50102221_4733</t>
  </si>
  <si>
    <t>50102220_4732</t>
  </si>
  <si>
    <t>50102223_4730</t>
  </si>
  <si>
    <t>Participant Stipend</t>
  </si>
  <si>
    <t>0000000014_LENOVO USA INC</t>
  </si>
  <si>
    <t>26-APR-2019_1</t>
  </si>
  <si>
    <t>50101936_KMITCHELL27.04ASGAPRIL19</t>
  </si>
  <si>
    <t>50102109_UNCASGA990.00ASGReimbMarch19</t>
  </si>
  <si>
    <t>50102818_NCCUSGA990.00ReimbApr19</t>
  </si>
  <si>
    <t>50102817_NCCUSGA2,807.00ReimbSandApr19</t>
  </si>
  <si>
    <t>REFUND_CAROLINA CHINA NETWORK</t>
  </si>
  <si>
    <t>GAMSC_11113</t>
  </si>
  <si>
    <t>50103403_STIP_ASG_LIAISON_May2019</t>
  </si>
  <si>
    <t>50103404_STIP_ASG_LIAISON_May2019</t>
  </si>
  <si>
    <t>50103406_STIP_ASG_LIAISON_May2019</t>
  </si>
  <si>
    <t>50103402_STIP_ASG_LIAISON_May2019</t>
  </si>
  <si>
    <t>50103396_STIP_ASG_LIAISON_May2019</t>
  </si>
  <si>
    <t>50103408_STIP_ASG_LIAISON_May2019</t>
  </si>
  <si>
    <t>50103409_STIP_ASG_LIAISON_May2019</t>
  </si>
  <si>
    <t>50103405_STIP_ASG_LIAISON_May2019</t>
  </si>
  <si>
    <t>50103397_STIP_ASG_LIAISON_May2019</t>
  </si>
  <si>
    <t>50103398_STIP_ASG_LIAISON_May2019</t>
  </si>
  <si>
    <t>50103407_STIP_ASG_LIAISON_May2019</t>
  </si>
  <si>
    <t>0000011353_HASSAANAN KERSEY</t>
  </si>
  <si>
    <t>50103399_STIP_ASG_LIAISON_May2019</t>
  </si>
  <si>
    <t>50103400_STIP_ASG_LIAISON_May2019</t>
  </si>
  <si>
    <t>50103401_STIP_ASG_LIAISONMay2019</t>
  </si>
  <si>
    <t>50103410_STIP_ASG_LIAISON_May2019</t>
  </si>
  <si>
    <t>50103394_STIP_ASG_GSR_May2019</t>
  </si>
  <si>
    <t>50103412_STIP_ASG_LEADER_May2019</t>
  </si>
  <si>
    <t>50103392_STIP_ASG_VPCO_May2019</t>
  </si>
  <si>
    <t>50103395_STIP_ASG_MSIR_May2019</t>
  </si>
  <si>
    <t>50103391_STIP_ASG_VPMO_May2019</t>
  </si>
  <si>
    <t>50103411_STIP_ASG_LEADER_May2019</t>
  </si>
  <si>
    <t>50103393_STIP_ASG_VPBF_May2019</t>
  </si>
  <si>
    <t>50103390_STIP_ASG_VPGO_May2019</t>
  </si>
  <si>
    <t>50103389_STIP_ASG_COS_May2019</t>
  </si>
  <si>
    <t>50103387_STIP_ASG_SVP_May2019</t>
  </si>
  <si>
    <t>50103388_STIP_ASG_ P_May2019</t>
  </si>
  <si>
    <t>YTD Start of Month</t>
  </si>
  <si>
    <t>YTD End of Month</t>
  </si>
  <si>
    <t>Description</t>
  </si>
  <si>
    <t>Each institution may receive a maximum of $1,000.00 per academic year from grant funding.</t>
  </si>
  <si>
    <t>To be expended by the Committee on Campus Outreach to support the Spring Initiative. Any unexpected funds, as reported by the Vice President of Campus Outreach, shall be sent to (5.2.1) Grant Funds.</t>
  </si>
  <si>
    <t>Allocation</t>
  </si>
  <si>
    <t>EXPECTED TOTAL REVENUES</t>
  </si>
  <si>
    <t>EXPECTED TOTAL EXPENSES</t>
  </si>
  <si>
    <t>(1) EXPECTED REVENUES</t>
  </si>
  <si>
    <t>Allocations / Expected Expenses</t>
  </si>
  <si>
    <t>Assets / Revenues</t>
  </si>
  <si>
    <t>Fiscal Year 2019 - July</t>
  </si>
  <si>
    <t>(1.2.1) Rollover from FY2018</t>
  </si>
  <si>
    <t>Fiscal Year 2019 - Approved Budget</t>
  </si>
  <si>
    <t>(3.1.3) Annual Report</t>
  </si>
  <si>
    <t>(3.2.2) Website - Domain Names</t>
  </si>
  <si>
    <t>(3.2.4) Technology Replacement</t>
  </si>
  <si>
    <t>(3.2.3) Project Management</t>
  </si>
  <si>
    <t>(4.2.2) 2019 Sanders Dinner</t>
  </si>
  <si>
    <t>(4.2.3) 2019 Sanders Dinner - Award Plaques</t>
  </si>
  <si>
    <t>(5.4.1) Unallocated Special Projects Funds</t>
  </si>
  <si>
    <t>(5.1.2) Advocacy Trip to DC</t>
  </si>
  <si>
    <t>(4.1.1) Lodging and Travel</t>
  </si>
  <si>
    <t>(5.2.2) Unrestricted Grant Funds</t>
  </si>
  <si>
    <t>(4.2.3) Presidential Search Committee - SBP Meeting</t>
  </si>
  <si>
    <t>Institutions may request additional grant funds from this line on a 
first come, first served basis after exceeding their initial allocation of $1,000.00 in 
line item 5.2.1.</t>
  </si>
  <si>
    <t>50107444_ASchmidt29.00BOGOrientJune19</t>
  </si>
  <si>
    <t>ASG FEES_SUMMER 2019_ECU</t>
  </si>
  <si>
    <t>GAMSC_11862</t>
  </si>
  <si>
    <t>National Assoc of Stude Person</t>
  </si>
  <si>
    <t>0000595227_20-AUG-2019</t>
  </si>
  <si>
    <t>American College Personnel Ass</t>
  </si>
  <si>
    <t>50108079_STIP_ASG_VPCO_Aug2019</t>
  </si>
  <si>
    <t>0000011697_RYAN DUNN</t>
  </si>
  <si>
    <t>50108076_STIP_ASG_COS_Aug2019</t>
  </si>
  <si>
    <t>50108077_STIP_ASG_VPGO_Aug2019</t>
  </si>
  <si>
    <t>50108074_STIP_ASG_SVP_Aug2019</t>
  </si>
  <si>
    <t>50108081_STIP_ASG_GSR_Aug2019</t>
  </si>
  <si>
    <t>50108075_STIP_ASG_ P_Aug2019</t>
  </si>
  <si>
    <t>50108080_STIP_ASG_VPBF_Aug2019</t>
  </si>
  <si>
    <t>50108082_STIP_ASG_MSIR_Aug2019</t>
  </si>
  <si>
    <t>50108078_STIP_ASG_VPMO_Aug2019</t>
  </si>
  <si>
    <t>ASG FEES SUMMER 19_NCSU</t>
  </si>
  <si>
    <t>GAMSC_11890</t>
  </si>
  <si>
    <t>ASG FEES SUMMER 1&amp;2_WSSU19</t>
  </si>
  <si>
    <t>GAMSC_11891</t>
  </si>
  <si>
    <t>28-AUG-2019_1</t>
  </si>
  <si>
    <t>STIF Int Alloc 08/2019</t>
  </si>
  <si>
    <t>STIF599807_31-AUG-2019</t>
  </si>
  <si>
    <t>(1.2.2) Other Non-Recurring</t>
  </si>
  <si>
    <t>(1.1.3) Other Recurring</t>
  </si>
  <si>
    <t>50103761_AR5100-2019-01</t>
  </si>
  <si>
    <t>29-MAY-2019_1</t>
  </si>
  <si>
    <t>50104126_HT2930MAY2019</t>
  </si>
  <si>
    <t>50101996_BMeighen132.00ASGApril19</t>
  </si>
  <si>
    <t>50102222_4734</t>
  </si>
  <si>
    <t>Honorariums</t>
  </si>
  <si>
    <t>0000011625_LAUREN NICOLE KALO</t>
  </si>
  <si>
    <t>50104165_LKalo350.00ASGGAFApril19</t>
  </si>
  <si>
    <t>50104302_434X800004982</t>
  </si>
  <si>
    <t>50104313_434X800004970</t>
  </si>
  <si>
    <t>0000005410_ALFREDO'S PIZZA VILLA</t>
  </si>
  <si>
    <t>50104294_8056</t>
  </si>
  <si>
    <t>0000009940_DIY, LLC - dba MOE'S SOUTHWEST GRILL RAL</t>
  </si>
  <si>
    <t>50104289_UOSA_052319</t>
  </si>
  <si>
    <t>50104282_UOSA_052119</t>
  </si>
  <si>
    <t>Staples Rebate 2018</t>
  </si>
  <si>
    <t>0000569666_06-JUN-2019</t>
  </si>
  <si>
    <t>ASG FEES_UNCP</t>
  </si>
  <si>
    <t>GAMSC_11341</t>
  </si>
  <si>
    <t>0000011691_ISAIAH MAURICE GREEN</t>
  </si>
  <si>
    <t>50104677_IGreen169.38SBPMay19</t>
  </si>
  <si>
    <t>50104686_LKalo55.06SBPMay19</t>
  </si>
  <si>
    <t>50104674_DMcCoy128.46SBPMay19</t>
  </si>
  <si>
    <t>50104640_ASchmidt62.88ASGMay19</t>
  </si>
  <si>
    <t>50104664_RDunn62.40ASGMay19</t>
  </si>
  <si>
    <t>0000011696_NICHOLAS CHRISTOPHER PIANOVICH</t>
  </si>
  <si>
    <t>50104687_NPianovich121.20SBPMay19</t>
  </si>
  <si>
    <t>50104673_CJohnson90.84SBPMay19</t>
  </si>
  <si>
    <t>0000011698_THOMAS CROW-ALLBRITTON</t>
  </si>
  <si>
    <t>50104688_TCrow85.56SBPMay19</t>
  </si>
  <si>
    <t>0000011695_KIANTE BENNETT</t>
  </si>
  <si>
    <t>50104684_KBennett65.10SBPMay19</t>
  </si>
  <si>
    <t>50104652_OTarpley41.64ASGMay19</t>
  </si>
  <si>
    <t>50104645_AWalter51.50ASGMay19</t>
  </si>
  <si>
    <t>50104650_JNewton68.64ASGMay19</t>
  </si>
  <si>
    <t>50104675_ECarter40.83SBPMay19</t>
  </si>
  <si>
    <t>50104643_AFloyd82.50ASGMay19</t>
  </si>
  <si>
    <t>50104768_STIP_ASG_LIAISON_June2019</t>
  </si>
  <si>
    <t>50104767_STIP_ASG_LIAISON_June2019</t>
  </si>
  <si>
    <t>50104755_STIP_ASG_VPMO_June2019</t>
  </si>
  <si>
    <t>50104766_STIP_ASG_LIAISON_June2019</t>
  </si>
  <si>
    <t>50104757_STIP_ASG_VPBF_June2019</t>
  </si>
  <si>
    <t>50104771_STIP_ASG_LEADER_June2019</t>
  </si>
  <si>
    <t>50104756_STIP_ASG_VPCO_June2019</t>
  </si>
  <si>
    <t>50104763_STIP_ASG_LIAISON_June2019</t>
  </si>
  <si>
    <t>50104754_STIP_ASG_VPGO_June2019</t>
  </si>
  <si>
    <t>50104765_STIP_ASG_LIAISON_June2019</t>
  </si>
  <si>
    <t>50104762_STIP_ASG_LIAISON_June2019</t>
  </si>
  <si>
    <t>50104758_STIP_ASG_GSR_June2019</t>
  </si>
  <si>
    <t>50104751_STIP_ASG_SVP_June2019</t>
  </si>
  <si>
    <t>50104760_STIP_ASG_LIAISON_June2019</t>
  </si>
  <si>
    <t>50104761_STIP_ASG_LIAISON_June2019</t>
  </si>
  <si>
    <t>50104759_STIP_ASG_MSIR_June2019</t>
  </si>
  <si>
    <t>50104753_STIP_ASG_COS_June2019</t>
  </si>
  <si>
    <t>50104764_STIP_ASG_LIAISON_June2019</t>
  </si>
  <si>
    <t>50104769_STIP_ASG_LIAISON_June2019</t>
  </si>
  <si>
    <t>50104772_STIP_ASG_LEADER_June2019</t>
  </si>
  <si>
    <t>50104770_STIP_ASG_LIAISON_June2019</t>
  </si>
  <si>
    <t>50104752_STIP_ASG_ P_June2019</t>
  </si>
  <si>
    <t>50104787_RDavis87.54ASGSBPMay19</t>
  </si>
  <si>
    <t>0000011714_DAVID RHODE</t>
  </si>
  <si>
    <t>50104747_DRhode199.74SBPMay19</t>
  </si>
  <si>
    <t>0000011699_GRACE DAI</t>
  </si>
  <si>
    <t>50104773_GDai46.62SBPMay19</t>
  </si>
  <si>
    <t>50104749_GDai18.90SBPMay19</t>
  </si>
  <si>
    <t>50105047_Lenovo36176.00HBCUMay19</t>
  </si>
  <si>
    <t>0000576945_20-JUN-2019</t>
  </si>
  <si>
    <t>0000577518_21-JUN-2019</t>
  </si>
  <si>
    <t>ASG FEES SUMMER 2019_UNCA</t>
  </si>
  <si>
    <t>GAMSC_11470</t>
  </si>
  <si>
    <t>Lenovo</t>
  </si>
  <si>
    <t>0000579537_26-JUN-2019</t>
  </si>
  <si>
    <t>21-JUN-2019_1</t>
  </si>
  <si>
    <t>ASG FEES_SPRING 19_ASU</t>
  </si>
  <si>
    <t>GAMSC_11500</t>
  </si>
  <si>
    <t>11% Admin Serv Fee 4th qrt 19</t>
  </si>
  <si>
    <t>0000582356_30-JUN-2019</t>
  </si>
  <si>
    <t>July</t>
  </si>
  <si>
    <t>August</t>
  </si>
  <si>
    <t>September</t>
  </si>
  <si>
    <t>October</t>
  </si>
  <si>
    <t>November</t>
  </si>
  <si>
    <t>December</t>
  </si>
  <si>
    <t>January</t>
  </si>
  <si>
    <t>February</t>
  </si>
  <si>
    <t>March</t>
  </si>
  <si>
    <t>April</t>
  </si>
  <si>
    <t>May</t>
  </si>
  <si>
    <t>June</t>
  </si>
  <si>
    <t>Remaining</t>
  </si>
  <si>
    <t>YTD</t>
  </si>
  <si>
    <t>Balance - Start of Month</t>
  </si>
  <si>
    <t>Balance - End of Month</t>
  </si>
  <si>
    <t>Refund</t>
  </si>
  <si>
    <t>Ledger - Monthly Detail</t>
  </si>
  <si>
    <t>Ledger - Monthly Overview</t>
  </si>
  <si>
    <t>TOTAL REVENUES</t>
  </si>
  <si>
    <t>TOTAL EXPENSES</t>
  </si>
  <si>
    <t>Ledger - Executive Summary</t>
  </si>
  <si>
    <t>Percent Change</t>
  </si>
  <si>
    <t>Change YTD</t>
  </si>
  <si>
    <t>Revenue YTD</t>
  </si>
  <si>
    <t>Expense YTD</t>
  </si>
  <si>
    <t>Starting Balance</t>
  </si>
  <si>
    <t>Percent Expended</t>
  </si>
  <si>
    <t>Balance YTD</t>
  </si>
  <si>
    <t>Revenues</t>
  </si>
  <si>
    <t>Assets</t>
  </si>
  <si>
    <t>Trend</t>
  </si>
  <si>
    <t>CUMULATIVE REVENUES</t>
  </si>
  <si>
    <t>CUMULATIVE EXPENSES</t>
  </si>
  <si>
    <t>CUMULATIVE ASSET BALANCE</t>
  </si>
  <si>
    <t>NET REVENUES</t>
  </si>
  <si>
    <t>CUMULATIVE NET REVENUES</t>
  </si>
  <si>
    <t>AUGUST NET REVENUES</t>
  </si>
  <si>
    <t>JULY NET REVENUES</t>
  </si>
  <si>
    <t>Fiscal Year 2020 - Operating Budget</t>
  </si>
  <si>
    <t>(4.2.2) 2020 Sanders Dinner</t>
  </si>
  <si>
    <t>50107443_ASchmidt29.00BOGMay19</t>
  </si>
  <si>
    <t>50110024_BOAAUG2019</t>
  </si>
  <si>
    <t>50110214_421476</t>
  </si>
  <si>
    <t>ASG FEES_FALL2019_UNCP</t>
  </si>
  <si>
    <t>GAMSC_12027</t>
  </si>
  <si>
    <t>50110869_OTarpley50.16ASGSept19</t>
  </si>
  <si>
    <t>50110862_SGregg49.18ASGSept19</t>
  </si>
  <si>
    <t>50110826_DRhode180.84ASGApril19</t>
  </si>
  <si>
    <t>50110856_CHardison70.62ASGSept19</t>
  </si>
  <si>
    <t>50110871_DRhode193.38ASGSept19</t>
  </si>
  <si>
    <t>50110863_RDavis51.04ASGSept19</t>
  </si>
  <si>
    <t>50110858_CJohnson56.76ASGSept19</t>
  </si>
  <si>
    <t>50111139_STIP_ASG_VPBF_Sep2019</t>
  </si>
  <si>
    <t>50111138_STIP_ASG_VPCO_Sep2019</t>
  </si>
  <si>
    <t>50111140_STIP_ASG_GSR_Sep2019</t>
  </si>
  <si>
    <t>50111137_STIP_ASG_VPMO_Sep2019</t>
  </si>
  <si>
    <t>50111136_STIP_ASG_VPGO_Sep2019</t>
  </si>
  <si>
    <t>50111141_STIP_ASG_MSIR_Sep2019</t>
  </si>
  <si>
    <t>50111135_STIP_ASG_COS_Sep2019</t>
  </si>
  <si>
    <t>0000011866_EYRICKA JOHNSON</t>
  </si>
  <si>
    <t>50110977_EJohnson111.54ASGSept19</t>
  </si>
  <si>
    <t>50110979_CCrean101.64ASGSept19</t>
  </si>
  <si>
    <t>0000011874_HUNTER MARTIN</t>
  </si>
  <si>
    <t>50110980_HMartin50.16ASGSept19</t>
  </si>
  <si>
    <t>50110976_IGreen163.68ASGSept19</t>
  </si>
  <si>
    <t>0000011861_ANAHI PENA-NERI</t>
  </si>
  <si>
    <t>50110975_APena122.76ASGSept19</t>
  </si>
  <si>
    <t>0000011852_JENNA ELIZA CUSACK</t>
  </si>
  <si>
    <t>50111047_JCusack67.32ASGSept19</t>
  </si>
  <si>
    <t>ASG FEES_FALL 2019_UNCG</t>
  </si>
  <si>
    <t>GAMSC_12121</t>
  </si>
  <si>
    <t>ASG FEES_FALL 2019_UNCCH</t>
  </si>
  <si>
    <t>GAMSC_12129</t>
  </si>
  <si>
    <t>50111625_T768532_ER_0000010852</t>
  </si>
  <si>
    <t>ASG FEE_FALL 2019_UNCA</t>
  </si>
  <si>
    <t>GAMSC_12141</t>
  </si>
  <si>
    <t>26-SEP-2019_1</t>
  </si>
  <si>
    <t>11% Admin Serv Fee 1st qrt 20</t>
  </si>
  <si>
    <t>ASF0609221_30-SEP-2019</t>
  </si>
  <si>
    <t>STIF Int Alloc 09/2019</t>
  </si>
  <si>
    <t>STIF609106_30-SEP-2019</t>
  </si>
  <si>
    <t>ASG FEES_FALL 2019_ECU</t>
  </si>
  <si>
    <t>GAMSC_12148</t>
  </si>
  <si>
    <t>ASG FEES_FALL 2019_FSU</t>
  </si>
  <si>
    <t>GAMSC_12147</t>
  </si>
  <si>
    <t>ASG FALL 2019_UNCW</t>
  </si>
  <si>
    <t>GAMSC_12154</t>
  </si>
  <si>
    <t>50111120_ASchmidt58.00BOGSept19</t>
  </si>
  <si>
    <t>0000011856_DUSTIN KYLE GLOVER</t>
  </si>
  <si>
    <t>50110974_DGlover84.48ASGSept19</t>
  </si>
  <si>
    <t>50110864_NJacobs58.00ASGSept19</t>
  </si>
  <si>
    <t>50111206_NCSUSGA426.26ASGSept19</t>
  </si>
  <si>
    <t>ASG FEES_OTHER 2019_UNCC</t>
  </si>
  <si>
    <t>GAMSC_12167</t>
  </si>
  <si>
    <t>ASG FEES_FALL 2019_UNCC</t>
  </si>
  <si>
    <t>GAMSC_12179</t>
  </si>
  <si>
    <t>ASG FEES_UNCSA_FY20</t>
  </si>
  <si>
    <t>GAMSC_12196</t>
  </si>
  <si>
    <t>50112159_3426907622</t>
  </si>
  <si>
    <t>50112407_BOASEP2019</t>
  </si>
  <si>
    <t>ASG FEES_FALL 2019_NCSU</t>
  </si>
  <si>
    <t>GAMSC_12256</t>
  </si>
  <si>
    <t>ASG FEES_SUMMER-FALL2019_NCAT</t>
  </si>
  <si>
    <t>GAMSC_12281</t>
  </si>
  <si>
    <t>50113491_STIP_ASG_Oct2019</t>
  </si>
  <si>
    <t>0000011955_NICHOLAS BROWN</t>
  </si>
  <si>
    <t>50113511_STIP_ASG_Oct2019</t>
  </si>
  <si>
    <t>50113495_STIP_ASG_Oct2019</t>
  </si>
  <si>
    <t>0000011869_KEONDRA RUFFIN</t>
  </si>
  <si>
    <t>50113500_STIP_ASG_Oct2019</t>
  </si>
  <si>
    <t>0000011853_MELODY WEN</t>
  </si>
  <si>
    <t>50113510_STIP_ASG_Oct2019</t>
  </si>
  <si>
    <t>50113492_STIP_ASG_Oct2019</t>
  </si>
  <si>
    <t>0000011863_ELIZABETH CHASE LOUDERMELT</t>
  </si>
  <si>
    <t>50113502_STIP_ASG_Oct2019</t>
  </si>
  <si>
    <t>50113494_STIP_ASG_Oct2019</t>
  </si>
  <si>
    <t>0000011867_TEEGHAN D. WIGGINS</t>
  </si>
  <si>
    <t>50113499_STIP_ASG_Oct2019</t>
  </si>
  <si>
    <t>0000011862_MELANY CONTRERAS</t>
  </si>
  <si>
    <t>50113496_STIP_ASG_ Oct2019</t>
  </si>
  <si>
    <t>50113488_STIP_ASG_Oct2019</t>
  </si>
  <si>
    <t>50113489_STIP_ASG_Oct2019</t>
  </si>
  <si>
    <t>0000011871_DAVID BENOIT</t>
  </si>
  <si>
    <t>50113508_STIP_ASG_Oct2019</t>
  </si>
  <si>
    <t>0000011854_TERENCE ROLLINS</t>
  </si>
  <si>
    <t>50113505_STIP_ASG_Oct2019</t>
  </si>
  <si>
    <t>0000011872_ELLIS REEVES MOSELEY</t>
  </si>
  <si>
    <t>50113503_STIP_ASG_Oct2019</t>
  </si>
  <si>
    <t>50113493_STIP_ASG_Oct2019</t>
  </si>
  <si>
    <t>0000011870_SIMONE SPENCER</t>
  </si>
  <si>
    <t>50113506_STIP_ASG_Oct2019</t>
  </si>
  <si>
    <t>0000011873_IMANI GILL</t>
  </si>
  <si>
    <t>50113504_STIP_ASG_Oct2019</t>
  </si>
  <si>
    <t>50113490_STIP_ASG_Oct2019</t>
  </si>
  <si>
    <t>50113507_STIP_ASG_Oct2019</t>
  </si>
  <si>
    <t>0000011868_JA'NIA DAVIS</t>
  </si>
  <si>
    <t>50113509_STIP_ASG_Oct2019</t>
  </si>
  <si>
    <t>50113487_STIP_ASG_ Oct2019</t>
  </si>
  <si>
    <t>0000011855_LAUREN MAYBIN</t>
  </si>
  <si>
    <t>50113501_STIP_ASG_Oct2019</t>
  </si>
  <si>
    <t>50113486_STIP_ASG_Oct2019</t>
  </si>
  <si>
    <t>50113497_STIP_ASG_Oct2019</t>
  </si>
  <si>
    <t>50113498_STIP_ASG_Oct2019</t>
  </si>
  <si>
    <t>50113600_RDunn56.76ASGOct19</t>
  </si>
  <si>
    <t>50113602_NJacobs73.26ASGOct19</t>
  </si>
  <si>
    <t>50113603_RDavis71.94ASGOct19</t>
  </si>
  <si>
    <t>ASG FEES_SUMMER I 2019_NCCU</t>
  </si>
  <si>
    <t>GAMSC_12342</t>
  </si>
  <si>
    <t>ASG FEES_SUMMER II 2019_NCCU</t>
  </si>
  <si>
    <t>ASG FEES_FALL 2019_NCCU</t>
  </si>
  <si>
    <t>50113686_JCusack124.08ASGOct19</t>
  </si>
  <si>
    <t>50113649_SGregg105.60ASGOct19</t>
  </si>
  <si>
    <t>0000011961_MATTHEW PAUL TALONE</t>
  </si>
  <si>
    <t>50113695_MTalone73.92ASGOct19</t>
  </si>
  <si>
    <t>50113684_APena178.86ASGOct19</t>
  </si>
  <si>
    <t>50113672_LKalo105.60ASGOct19</t>
  </si>
  <si>
    <t>50113670_CCrean158.40ASGOct19</t>
  </si>
  <si>
    <t>50113677_EJohnson60.72ASGOct19</t>
  </si>
  <si>
    <t>0000011964_KYNDAL DIONNE DODD</t>
  </si>
  <si>
    <t>50113682_KDodd122.76ASGOct19</t>
  </si>
  <si>
    <t>50113652_AWalter56.76ASGOct19</t>
  </si>
  <si>
    <t>50113698_ASchmidt56.76ASGOct19</t>
  </si>
  <si>
    <t>50113717_AFloyd73.26ASGOct19</t>
  </si>
  <si>
    <t>0000011967_DESMOND C. WOODS</t>
  </si>
  <si>
    <t>50113716_DWoods99.66ASGOct19</t>
  </si>
  <si>
    <t>50113719_DRhode249.48ASGOct19</t>
  </si>
  <si>
    <t>ASG FEES_FALL 2019_WSSU</t>
  </si>
  <si>
    <t>GAMSC_12367</t>
  </si>
  <si>
    <t>29-OCT-2019_1</t>
  </si>
  <si>
    <t>Fiscal Year 2020 - September</t>
  </si>
  <si>
    <t>September TOTAL REVENUES</t>
  </si>
  <si>
    <t>September TOTAL EXPENSES</t>
  </si>
  <si>
    <t>September NET REVENUES</t>
  </si>
  <si>
    <t>Fiscal Year 2020 - October</t>
  </si>
  <si>
    <t>October TOTAL REVENUES</t>
  </si>
  <si>
    <t>October TOTAL EXPENSES</t>
  </si>
  <si>
    <t>October NET REVENUES</t>
  </si>
  <si>
    <t>Artificially added from Oct transactions to reflect Sep meeting costs.</t>
  </si>
  <si>
    <t>50111133_STIP_ASG_ P_Sep2019</t>
  </si>
  <si>
    <t>50111134_STIP_ASG_SVP_Sep2019</t>
  </si>
  <si>
    <t>Fiscal Year 2020 - November</t>
  </si>
  <si>
    <t>NOVEMBER TOTAL REVENUES</t>
  </si>
  <si>
    <t>NOVEMBER TOTAL EXPENSES</t>
  </si>
  <si>
    <t>NOVEMBER NET REVENUES</t>
  </si>
  <si>
    <t>50113850_ASchmidt129.74BOTOct19</t>
  </si>
  <si>
    <t>50114293_ELoudermelt219.46ASGOct19</t>
  </si>
  <si>
    <t>50114274_ASchmidt452.02ASGOct19</t>
  </si>
  <si>
    <t>50114108_4803</t>
  </si>
  <si>
    <t>50115151_STIP_ASG_Nov2019</t>
  </si>
  <si>
    <t>50115133_STIP_ASG_Nov2019</t>
  </si>
  <si>
    <t>50115150_STIP_ASG_Nov2019</t>
  </si>
  <si>
    <t>50115138_STIP_ASG_Nov2019</t>
  </si>
  <si>
    <t>50115148_STIP_ASG_Nov2019</t>
  </si>
  <si>
    <t>50115134_STIP_ASG_Nov2019</t>
  </si>
  <si>
    <t>50115132_STIP_ASG_ Nov2019</t>
  </si>
  <si>
    <t>50115141_STIP_ASG_ Nov2019</t>
  </si>
  <si>
    <t>50115153_STIP_ASG_Nov2019</t>
  </si>
  <si>
    <t>50115149_STIP_ASG_Nov2019</t>
  </si>
  <si>
    <t>50115135_STIP_ASG_Nov2019</t>
  </si>
  <si>
    <t>50115152_STIP_ASG_Nov2019</t>
  </si>
  <si>
    <t>50115144_STIP_ASG_Nov2019</t>
  </si>
  <si>
    <t>50115147_STIP_ASG_Nov2019</t>
  </si>
  <si>
    <t>50115143_STIP_ASG_Nov2019</t>
  </si>
  <si>
    <t>50115137_STIP_ASG_Nov2019</t>
  </si>
  <si>
    <t>50115139_STIP_ASG_Nov2019</t>
  </si>
  <si>
    <t>50115142_STIP_ASG_Nov2019</t>
  </si>
  <si>
    <t>50115154_STIP_ASG_Nov2019</t>
  </si>
  <si>
    <t>50115156_STIP_ASG_Nov2019</t>
  </si>
  <si>
    <t>50115140_STIP_ASG_Nov2019</t>
  </si>
  <si>
    <t>50115136_STIP_ASG_Nov2019</t>
  </si>
  <si>
    <t>50115131_STIP_ASG_Nov2019</t>
  </si>
  <si>
    <t>50115145_STIP_ASG_Nov2019</t>
  </si>
  <si>
    <t>50115155_STIP_ASG_Nov2019</t>
  </si>
  <si>
    <t>50115146_STIP_ASG_Nov2019</t>
  </si>
  <si>
    <t>50114332_T773359_ER_0000010852</t>
  </si>
  <si>
    <t>0000012007_MAURA WETZEL</t>
  </si>
  <si>
    <t>50114642_MWetzel54.78ASGNov19</t>
  </si>
  <si>
    <t>0000012008_VERDANT JULIUS</t>
  </si>
  <si>
    <t>50114643_VJulius36.30ASGNov19</t>
  </si>
  <si>
    <t>50114641_CCrean90.42ASGNov19</t>
  </si>
  <si>
    <t>50114645_RDavis11.60ASGNov19</t>
  </si>
  <si>
    <t>50114644_ASchmidt29.00ASGNov19</t>
  </si>
  <si>
    <t>50114633_GDai38.72ASGNov19</t>
  </si>
  <si>
    <t>50114621_BOAOct2019</t>
  </si>
  <si>
    <t>0000012006_ANASHA ESKEW</t>
  </si>
  <si>
    <t>50114657_AEskew47.52ASGNov19</t>
  </si>
  <si>
    <t>50114655_WGibson53.46ASGNov19</t>
  </si>
  <si>
    <t>50114661_DRhode148.50ASGNov19</t>
  </si>
  <si>
    <t>50114660_CJohnson73.26ASGNov19</t>
  </si>
  <si>
    <t>50114658_TAllbritton67.32ASGNov19</t>
  </si>
  <si>
    <t>0000012005_MITCHELL MORAVEC</t>
  </si>
  <si>
    <t>50114656_MMoravec29.00ASGNov19</t>
  </si>
  <si>
    <t>50114941_HT2930NOV19</t>
  </si>
  <si>
    <t>25-NOV-2019_1</t>
  </si>
  <si>
    <t>50115485_SGregg167.34ASGNov19</t>
  </si>
  <si>
    <t>50115479_NJacobs201.00ASGNov19</t>
  </si>
  <si>
    <t>50115471_MMoravec193.38ASGNov19</t>
  </si>
  <si>
    <t>50115478_LMaybin178.86ASGNov19</t>
  </si>
  <si>
    <t>50115484_AWalter212.88ASGNov19</t>
  </si>
  <si>
    <t>50115472_ANeri89.10ASGNov19</t>
  </si>
  <si>
    <t>50115483_RDavis200.34ASGNov19</t>
  </si>
  <si>
    <t>50115473_IGreen34.66ASGNov19</t>
  </si>
  <si>
    <t>50115486_AFloyd201.00ASGNov19</t>
  </si>
  <si>
    <t>50115474_MWetzel128.70ASGNov19</t>
  </si>
  <si>
    <t>50115506_T777282_ER_0000010852</t>
  </si>
  <si>
    <t>Artificially added from Nov transactions to reflect Oct meeting costs.</t>
  </si>
  <si>
    <t>50115481_ASchmidt212.88ASGNov19</t>
  </si>
  <si>
    <t>50115476_DGlover266.64ASGNov19</t>
  </si>
  <si>
    <t>50115475_EMoseley148.50ASGNov19</t>
  </si>
  <si>
    <t>50115410_434X800005344</t>
  </si>
  <si>
    <t>50115408_434X800005343</t>
  </si>
  <si>
    <t>50115433_1526-078</t>
  </si>
  <si>
    <t>0000012034_JAYLAAN BENNETT</t>
  </si>
  <si>
    <t>50115675_JBennett113.52ASGNov19</t>
  </si>
  <si>
    <t>50115740_ASchmidt111.54BOGNov19</t>
  </si>
  <si>
    <t>50115766_RDavis125.74BOGNov19</t>
  </si>
  <si>
    <t>50115742_BOANOV2019</t>
  </si>
  <si>
    <t>ASG FEES SUMMER 2019_ASU</t>
  </si>
  <si>
    <t>GAMSC_12623</t>
  </si>
  <si>
    <t>ASG FEES FALL 2019_ASU</t>
  </si>
  <si>
    <t>Pcard Rebate 2019</t>
  </si>
  <si>
    <t>0000627253_09-DEC-2019</t>
  </si>
  <si>
    <t>0000012047_MIX MOTIVATION AND INSPIRATION</t>
  </si>
  <si>
    <t>50116274_4806</t>
  </si>
  <si>
    <t>50116352_STIP_ASG_Dec2019</t>
  </si>
  <si>
    <t>50116349_STIP_ASG_ Dec2019</t>
  </si>
  <si>
    <t>50116351_STIP_ASG_Dec2019</t>
  </si>
  <si>
    <t>50116355_STIP_ASG_Dec2019</t>
  </si>
  <si>
    <t>50116347_STIP_ASG_Dec2019</t>
  </si>
  <si>
    <t>50116362_STIP_ASG_Dec2019</t>
  </si>
  <si>
    <t>50116340_STIP_ASG_ Dec2019</t>
  </si>
  <si>
    <t>50116350_STIP_ASG_Dec2019</t>
  </si>
  <si>
    <t>50116348_STIP_ASG_Dec2019</t>
  </si>
  <si>
    <t>50116360_STIP_ASG_Dec2019</t>
  </si>
  <si>
    <t>50116343_STIP_ASG_Dec2019</t>
  </si>
  <si>
    <t>50116357_STIP_ASG_Dec2019</t>
  </si>
  <si>
    <t>50116356_STIP_ASG_Dec2019</t>
  </si>
  <si>
    <t>50116358_STIP_ASG_Dec2019</t>
  </si>
  <si>
    <t>50116346_STIP_ASG_Dec2019</t>
  </si>
  <si>
    <t>50116364_STIP_ASG_Dec2019</t>
  </si>
  <si>
    <t>50116344_STIP_ASG_Dec2019</t>
  </si>
  <si>
    <t>50116359_STIP_ASG_Dec2019</t>
  </si>
  <si>
    <t>50116341_STIP_ASG_Dec2019</t>
  </si>
  <si>
    <t>50116345_STIP_ASG_Dec2019</t>
  </si>
  <si>
    <t>50116361_STIP_ASG_Dec2019</t>
  </si>
  <si>
    <t>50116342_STIP_ASG_Dec2019</t>
  </si>
  <si>
    <t>50116339_STIP_ASG_Dec2019</t>
  </si>
  <si>
    <t>50116353_STIP_ASG_Dec2019</t>
  </si>
  <si>
    <t>50116354_STIP_ASG_Dec2019</t>
  </si>
  <si>
    <t>50116363_STIP_ASG_Dec2019</t>
  </si>
  <si>
    <t>Staples Rebate 2019</t>
  </si>
  <si>
    <t>0000630069_17-DEC-2019</t>
  </si>
  <si>
    <t>19-DEC-2019_1</t>
  </si>
  <si>
    <t>Artificially added from Dec transactions to reflect Nov meeting costs.</t>
  </si>
  <si>
    <t>Fiscal Year 2020 - December</t>
  </si>
  <si>
    <t>DECEMBER TOTAL REVENUES</t>
  </si>
  <si>
    <t>DECEMBER TOTAL EXPENSES</t>
  </si>
  <si>
    <t>DECEMBER NET REVENUES</t>
  </si>
  <si>
    <t>0000012057_9-11 MEMORIAL RUN PLANNING COMMITTEE</t>
  </si>
  <si>
    <t>50116631_4804</t>
  </si>
  <si>
    <t>50116843_4802</t>
  </si>
  <si>
    <t>50116909_140998</t>
  </si>
  <si>
    <t>50117409_JNewton16.19ASGNov19</t>
  </si>
  <si>
    <t>50118574_STIP_ASG_Jan2019</t>
  </si>
  <si>
    <t>50118585_STIP_ASG_Jan2019</t>
  </si>
  <si>
    <t>50118576_STIP_ASG_Jan2019</t>
  </si>
  <si>
    <t>50118594_STIP_ASG_Jan2019</t>
  </si>
  <si>
    <t>50118575_STIP_ASG_Jan2019</t>
  </si>
  <si>
    <t>50118592_STIP_ASG_Jan2019</t>
  </si>
  <si>
    <t>50118596_STIP_ASG_Jan2019</t>
  </si>
  <si>
    <t>50118587_STIP_ASG_Jan2019</t>
  </si>
  <si>
    <t>50118572_STIP_ASG_Jan2019</t>
  </si>
  <si>
    <t>50118577_STIP_ASG_Jan2019</t>
  </si>
  <si>
    <t>50118597_STIP_ASG_Jan2019</t>
  </si>
  <si>
    <t>50118586_STIP_ASG_Jan2019</t>
  </si>
  <si>
    <t>50118580_STIP_ASG_Jan2019</t>
  </si>
  <si>
    <t>50118584_STIP_ASG_Jan2019</t>
  </si>
  <si>
    <t>50118578_STIP_ASG_Jan2019</t>
  </si>
  <si>
    <t>50118588_STIP_ASG_Jan2019</t>
  </si>
  <si>
    <t>50118593_STIP_ASG_Jan2019</t>
  </si>
  <si>
    <t>50118581_STIP_ASG_Jan2019</t>
  </si>
  <si>
    <t>50118573_STIP_ASG_ Jan2019</t>
  </si>
  <si>
    <t>50118595_STIP_ASG_Jan2019</t>
  </si>
  <si>
    <t>50118583_STIP_ASG_Jan2019</t>
  </si>
  <si>
    <t>50118589_STIP_ASG_Jan2019</t>
  </si>
  <si>
    <t>50118590_STIP_ASG_Jan2019</t>
  </si>
  <si>
    <t>50118591_STIP_ASG_Jan2019</t>
  </si>
  <si>
    <t>50118579_STIP_ASG_Jan2019</t>
  </si>
  <si>
    <t>50118582_STIP_ASG_ Jan2019</t>
  </si>
  <si>
    <t>50119097_3436961019</t>
  </si>
  <si>
    <t>50119151_ASchmidt57.52BOGJan20</t>
  </si>
  <si>
    <t>0000012088_NCSU BIOTECHNOLOGY CLUB</t>
  </si>
  <si>
    <t>50119152_4808</t>
  </si>
  <si>
    <t>50119647_MTalone151.80ASGJan20</t>
  </si>
  <si>
    <t>50119641_KRuffin53.46ASGJan20</t>
  </si>
  <si>
    <t>50119638_APena57.76ASGJan20</t>
  </si>
  <si>
    <t>50119649_DWoods95.04ASGJan20</t>
  </si>
  <si>
    <t>50119733_HMartin57.52ASGJan20</t>
  </si>
  <si>
    <t>50119732_RDavis53.46ASGJan20</t>
  </si>
  <si>
    <t>50119687_SGregg40.92ASGJan20</t>
  </si>
  <si>
    <t>50119689_IGreen99.00ASGJan20</t>
  </si>
  <si>
    <t>50119717_EJohnson177.54ASGJan20</t>
  </si>
  <si>
    <t>50119713_DRhode129.36ASGJan20</t>
  </si>
  <si>
    <t>50119688_JBennett44.88ASGJan20</t>
  </si>
  <si>
    <t>50119728_NJacobs53.46ASGJan20</t>
  </si>
  <si>
    <t>50119726_AWalter66.00ASGJan20</t>
  </si>
  <si>
    <t>50119722_RDunn66.00ASGJan20</t>
  </si>
  <si>
    <t>50119720_OTarpley57.52ASGJan20</t>
  </si>
  <si>
    <t>50119690_MWetzel6.92ASGJan20</t>
  </si>
  <si>
    <t>0000012111_SARA A MEARS</t>
  </si>
  <si>
    <t>50119882_SMears129.36ASGJan20</t>
  </si>
  <si>
    <t>0000012114_NOAH STEVEN SHULER</t>
  </si>
  <si>
    <t>50119886_NShuler122.76ASGJan20</t>
  </si>
  <si>
    <t>0000012121_KOREAN AMERICAN STUDENT ASSOCIATION</t>
  </si>
  <si>
    <t>50119949_4805</t>
  </si>
  <si>
    <t>50119938_4807</t>
  </si>
  <si>
    <t>29-JAN-2020_1</t>
  </si>
  <si>
    <t>Fiscal Year 2020 - January</t>
  </si>
  <si>
    <t>STIF Int Alloc 10/2019</t>
  </si>
  <si>
    <t>STIF609106_31-OCT-2019</t>
  </si>
  <si>
    <t>STIF609106_30-NOV-2019</t>
  </si>
  <si>
    <t>Fiscal Year 2020 - February</t>
  </si>
  <si>
    <t>FEBRUARY TOTAL REVENUES</t>
  </si>
  <si>
    <t>FEBRUARY TOTAL EXPENSES</t>
  </si>
  <si>
    <t>FEBRUARY NET REVENUES</t>
  </si>
  <si>
    <t>JANUARY TOTAL REVENUES</t>
  </si>
  <si>
    <t>JANUARY TOTAL EXPENSES</t>
  </si>
  <si>
    <t>JANUARY NET REVENUES</t>
  </si>
  <si>
    <t>50119683_13919</t>
  </si>
  <si>
    <t>50120495_BOAJan2020</t>
  </si>
  <si>
    <t>0000011744_ROBERT M BOONE</t>
  </si>
  <si>
    <t>50120920_T785137_ER_0000011744</t>
  </si>
  <si>
    <t>ASG FEES SPRING 20_UNCC</t>
  </si>
  <si>
    <t>GAMSC_13057</t>
  </si>
  <si>
    <t>ASG FEES_FALL19_UNCCH</t>
  </si>
  <si>
    <t>GAMSC_13058</t>
  </si>
  <si>
    <t>ASG FEES_SPRING 20_UNCG</t>
  </si>
  <si>
    <t>GAMSC_13063</t>
  </si>
  <si>
    <t>0000008607_FRIENDS NC MUSEUM OF NATURAL SCIENCES</t>
  </si>
  <si>
    <t>50121175_11626356</t>
  </si>
  <si>
    <t>ASG FEES_SPRING'20_ECU</t>
  </si>
  <si>
    <t>GAMSC_13073</t>
  </si>
  <si>
    <t>ASG FEES_SPRING '20_UNCA</t>
  </si>
  <si>
    <t>GAMSC_13074</t>
  </si>
  <si>
    <t>ASG FEES_SPRING'20_FSU</t>
  </si>
  <si>
    <t>GAMSC_13076</t>
  </si>
  <si>
    <t>50121243_T784876_ER_0000010852</t>
  </si>
  <si>
    <t>50121504_4801</t>
  </si>
  <si>
    <t>ASG FEES_SPRING'20_NCSU</t>
  </si>
  <si>
    <t>GAMSC_13101</t>
  </si>
  <si>
    <t>ASG FEES_SPRING'20_UNCP</t>
  </si>
  <si>
    <t>GAMSC_13103</t>
  </si>
  <si>
    <t>ASG FEES_SPRING'20_WCU</t>
  </si>
  <si>
    <t>GAMSC_13102</t>
  </si>
  <si>
    <t>50121701_STIP_ASG_Feb2019</t>
  </si>
  <si>
    <t>50121710_STIP_ASG_Feb2019</t>
  </si>
  <si>
    <t>50121688_STIP_ASG_Feb2019</t>
  </si>
  <si>
    <t>50121697_STIP_ASG_ Feb2019</t>
  </si>
  <si>
    <t>50121707_STIP_ASG_Feb2019</t>
  </si>
  <si>
    <t>50121711_STIP_ASG_Feb2019</t>
  </si>
  <si>
    <t>50121692_STIP_ASG_Feb2019</t>
  </si>
  <si>
    <t>50121705_STIP_ASG_Feb2019</t>
  </si>
  <si>
    <t>50121703_STIP_ASG_Feb2019</t>
  </si>
  <si>
    <t>50121694_STIP_ASG_Feb2019</t>
  </si>
  <si>
    <t>50121696_STIP_ASG_Feb2019</t>
  </si>
  <si>
    <t>50121698_STIP_ASG_Feb2019</t>
  </si>
  <si>
    <t>50121709_STIP_ASG_Feb2019</t>
  </si>
  <si>
    <t>50121689_STIP_ASG_ Feb2019</t>
  </si>
  <si>
    <t>50121700_STIP_ASG_Feb2019</t>
  </si>
  <si>
    <t>50121699_STIP_ASG_Feb2019</t>
  </si>
  <si>
    <t>50121712_STIP_ASG_Feb2019</t>
  </si>
  <si>
    <t>50121704_STIP_ASG_Feb2019</t>
  </si>
  <si>
    <t>50121691_STIP_ASG_Feb2019</t>
  </si>
  <si>
    <t>0000012124_JULIUS CROSBY BRITTMAN V</t>
  </si>
  <si>
    <t>50121713_STIP_ASG_Feb2019</t>
  </si>
  <si>
    <t>50121708_STIP_ASG_Feb2019</t>
  </si>
  <si>
    <t>50121690_STIP_ASG_Feb2019</t>
  </si>
  <si>
    <t>50121693_STIP_ASG_Feb2019</t>
  </si>
  <si>
    <t>50121695_STIP_ASG_Feb2019</t>
  </si>
  <si>
    <t>50121702_STIP_ASG_Feb2019</t>
  </si>
  <si>
    <t>50121706_STIP_ASG_Feb2019</t>
  </si>
  <si>
    <t>50121780_ASchmidt28.76BOGFeb20</t>
  </si>
  <si>
    <t>50121797_4810</t>
  </si>
  <si>
    <t>50121796_4809</t>
  </si>
  <si>
    <t>50121857_DWoods60.72ASGFeb20</t>
  </si>
  <si>
    <t>50121875_CJohnson73.92ASGFeb20</t>
  </si>
  <si>
    <t>50121876_RDunn84.48ASGFeb20</t>
  </si>
  <si>
    <t>50121873_NJacobs100.32ASGFeb20</t>
  </si>
  <si>
    <t>50121878_RDavis99.34ASGFeb20</t>
  </si>
  <si>
    <t>50121865_IGreen249.49ASGFeb20</t>
  </si>
  <si>
    <t>50121855_AWalter84.48ASGFeb20</t>
  </si>
  <si>
    <t>50121860_MWetzel153.12ASGFeb20</t>
  </si>
  <si>
    <t>50121867_CCrean132.66ASGFeb20</t>
  </si>
  <si>
    <t>0000012157_JACK STUCKEY</t>
  </si>
  <si>
    <t>50121870_JStuckey266.64ASGFeb20</t>
  </si>
  <si>
    <t>50121872_EJohnson139.92ASGFeb20</t>
  </si>
  <si>
    <t>50121880_ASchmidt84.48ASGFeb20</t>
  </si>
  <si>
    <t>ASG FEES_UNCW_SPRING'20</t>
  </si>
  <si>
    <t>GAMSC_13135</t>
  </si>
  <si>
    <t>ASG FEES_SPRING'20_WSSU</t>
  </si>
  <si>
    <t>GAMSC_13136</t>
  </si>
  <si>
    <t>26-FEB-2020_1</t>
  </si>
  <si>
    <t>STIF Int Alloc 02/2020</t>
  </si>
  <si>
    <t>STIF651960_28-FEB-2020</t>
  </si>
  <si>
    <t>STIF Int Alloc 01/2020</t>
  </si>
  <si>
    <t>STIF642356_31-JAN-2020</t>
  </si>
  <si>
    <t>50121877_OTarpley135.30ASGFeb20</t>
  </si>
  <si>
    <t>0000012158_VICTORIA MORENO</t>
  </si>
  <si>
    <t>50121874_VMoreno208.56ASGFeb20</t>
  </si>
  <si>
    <t>0000010953_ALEXIS P. LANDRUM</t>
  </si>
  <si>
    <t>50122335_T787844_ER_0000010953</t>
  </si>
  <si>
    <t>50122329_T787839_ER_0000010852</t>
  </si>
  <si>
    <t>50122604_BOAFeb2020</t>
  </si>
  <si>
    <t>50122600_434X800005526</t>
  </si>
  <si>
    <t>50122617_UNCWSGA42.92ASGFeb20</t>
  </si>
  <si>
    <t>0000006459_WESTERN CAROLINA UNIVERSITY</t>
  </si>
  <si>
    <t>50122757_WCUSGA1000.00LunchFeb20</t>
  </si>
  <si>
    <t>50122731_KMITCHELL35.33ASGFEB20</t>
  </si>
  <si>
    <t>ASG FEES_SPRING ' 20_NCAT</t>
  </si>
  <si>
    <t>GAMSC_13248</t>
  </si>
  <si>
    <t>50122787_EJohnson145.41ASGFeb20</t>
  </si>
  <si>
    <t>50122826_RDavis54.97ASGFeb20</t>
  </si>
  <si>
    <t>50122893_T789392_ER_0000010852</t>
  </si>
  <si>
    <t>50122947_41731</t>
  </si>
  <si>
    <t>Fiscal Year 2020 - March</t>
  </si>
  <si>
    <t>MARCH TOTAL REVENUES</t>
  </si>
  <si>
    <t>MARCH TOTAL EXPENSES</t>
  </si>
  <si>
    <t>MARCH NET REVENUES</t>
  </si>
  <si>
    <t>50123115_IGreen186.58ASGFeb20</t>
  </si>
  <si>
    <t>50123315_STIP_ASG_Mar2020</t>
  </si>
  <si>
    <t>50123328_STIP_ASG_Mar2020</t>
  </si>
  <si>
    <t>50123322_STIP_ASG_Mar2020</t>
  </si>
  <si>
    <t>50123316_STIP_ASG_Mar2020</t>
  </si>
  <si>
    <t>50123330_STIP_ASG_Mar2020</t>
  </si>
  <si>
    <t>50123302_STIP_ASG_Mar2020</t>
  </si>
  <si>
    <t>50123324_STIP_ASG_Mar2020</t>
  </si>
  <si>
    <t>50123320_STIP_ASG_Mar2020</t>
  </si>
  <si>
    <t>50123323_STIP_ASG_Mar2020</t>
  </si>
  <si>
    <t>50123306_STIP_ASG_Mar2020</t>
  </si>
  <si>
    <t>50123318_STIP_ASG_Mar2020</t>
  </si>
  <si>
    <t>50123317_STIP_ASG_Mar2020</t>
  </si>
  <si>
    <t>50123311_STIP_ASG_Mar2020</t>
  </si>
  <si>
    <t>50123304_STIP_ASG_Mar2020</t>
  </si>
  <si>
    <t>50123308_STIP_ASG_Mar2020</t>
  </si>
  <si>
    <t>50123307_STIP_ASG_Mar2020</t>
  </si>
  <si>
    <t>0000012176_KORBIN ARIS CUMMINGS</t>
  </si>
  <si>
    <t>50123332_STIP_ASG_Mar2020</t>
  </si>
  <si>
    <t>50123329_STIP_ASG_Mar2020</t>
  </si>
  <si>
    <t>50123313_STIP_ASG_Mar2020</t>
  </si>
  <si>
    <t>50123325_STIP_ASG_Mar2020</t>
  </si>
  <si>
    <t>50123314_STIP_ASG_Mar2020</t>
  </si>
  <si>
    <t>50123310_STIP_ASG_Mar2020</t>
  </si>
  <si>
    <t>50123326_STIP_ASG_Mar2020</t>
  </si>
  <si>
    <t>50123321_STIP_ASG_Mar2020</t>
  </si>
  <si>
    <t>50123319_STIP_ASG_Mar2020</t>
  </si>
  <si>
    <t>50123303_STIP_ASG_Mar2020</t>
  </si>
  <si>
    <t>50123385_ECU8400.00ASGMarch20</t>
  </si>
  <si>
    <t>50123378_ASU6200.00ASGMarch20</t>
  </si>
  <si>
    <t>50123389_ECSU9200.00ASGMarch20</t>
  </si>
  <si>
    <t>50123402_UNCG10000.00ASGMarch20</t>
  </si>
  <si>
    <t>50123404_UNCW6400.00ASGMarch20</t>
  </si>
  <si>
    <t>50123391_NCAT10400.00ASGMarch20</t>
  </si>
  <si>
    <t>0000006540_UNIV. NORTH CAROLINA  SCHOOL OF THE ARTS</t>
  </si>
  <si>
    <t>50123405_UNCSA4000.00ASGMarch20</t>
  </si>
  <si>
    <t>50123394_NCSU6000.00ASGMarch20</t>
  </si>
  <si>
    <t>50123407_WCU6800.00ASGMarch20</t>
  </si>
  <si>
    <t>50123395_UNCA5800.00ASGMarch20</t>
  </si>
  <si>
    <t>50123396_UNCCH6000.00ASGMarch20</t>
  </si>
  <si>
    <t>50123403_UNCP8800.00ASGMarch20</t>
  </si>
  <si>
    <t>50123401_UNCC9000.00ASGMarch20</t>
  </si>
  <si>
    <t>50123392_NCCU10600.00ASGMarch20</t>
  </si>
  <si>
    <t>50123390_FSU9600.00ASGMarch20</t>
  </si>
  <si>
    <t>50123408_WSSU9800.00ASGMarch20</t>
  </si>
  <si>
    <t>50123409_NCSSM3000.00ASGMarch20</t>
  </si>
  <si>
    <t>27-MAR-2020_1</t>
  </si>
  <si>
    <t>11% Admin Serv Fee 3rd qrt 20</t>
  </si>
  <si>
    <t>ASF0662044_31-MAR-2020</t>
  </si>
  <si>
    <t>STIF Int Alloc 03/2020</t>
  </si>
  <si>
    <t>STIF662031_31-MAR-2020</t>
  </si>
  <si>
    <t>Move from (4.1.1) to (5.3.1)</t>
  </si>
  <si>
    <t>Move from (4.2.1) to (5.3.1)</t>
  </si>
  <si>
    <t>Move from (4.1.2) to (5.3.1)</t>
  </si>
  <si>
    <t>Move from (4.1.3) to (5.3.1)</t>
  </si>
  <si>
    <t>Move from (4.2.2) to (5.3.1)</t>
  </si>
  <si>
    <t>Move from (4.2.3) to (5.3.1)</t>
  </si>
  <si>
    <t>Move from (5.1.1) to (5.3.1)</t>
  </si>
  <si>
    <t>Move from (5.2.1) to (5.3.1)</t>
  </si>
  <si>
    <t>Move from (5.2.2) to (5.3.1)</t>
  </si>
  <si>
    <t>Move from (5.4.1) to (5.3.1)</t>
  </si>
  <si>
    <t>Move from (5.4.2) to (5.3.1)</t>
  </si>
  <si>
    <t>Move from (5.4.3) to (5.3.1)</t>
  </si>
  <si>
    <t>Move to (5.3.1)</t>
  </si>
  <si>
    <t>Fiscal Year 2020 - April</t>
  </si>
  <si>
    <t>APRIL TOTAL REVENUES</t>
  </si>
  <si>
    <t>APRIL TOTAL EXPENSES</t>
  </si>
  <si>
    <t>APRIL NET REVENUES</t>
  </si>
  <si>
    <t>Other Supporting Revenue</t>
  </si>
  <si>
    <t>BELK FOUNDATION DEPOSIT</t>
  </si>
  <si>
    <t>GAMSC_13384</t>
  </si>
  <si>
    <t>50123774_BMeighen132.00ASGApril20</t>
  </si>
  <si>
    <t>50123775_4813</t>
  </si>
  <si>
    <t>0000662430_09-APR-2020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</si>
</sst>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yy"/>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0"/>
      <name val="Arial"/>
      <family val="2"/>
    </font>
    <font>
      <b/>
      <sz val="10"/>
      <color theme="1"/>
      <name val="Arial"/>
      <family val="2"/>
    </font>
    <font>
      <sz val="10"/>
      <color theme="1"/>
      <name val="Arial"/>
      <family val="2"/>
    </font>
    <font>
      <sz val="11"/>
      <color theme="1"/>
      <name val="Arial"/>
      <family val="2"/>
    </font>
    <font>
      <b/>
      <sz val="11"/>
      <color theme="0"/>
      <name val="Arial"/>
      <family val="2"/>
    </font>
    <font>
      <sz val="11"/>
      <color rgb="FF9C6500"/>
      <name val="Calibri"/>
      <family val="2"/>
      <scheme val="minor"/>
    </font>
    <font>
      <sz val="12"/>
      <color theme="1"/>
      <name val="Courier New"/>
      <family val="3"/>
    </font>
    <font>
      <b/>
      <sz val="20"/>
      <color theme="0"/>
      <name val="Arial"/>
      <family val="2"/>
    </font>
    <font>
      <b/>
      <sz val="12"/>
      <color theme="0"/>
      <name val="Courier New"/>
      <family val="3"/>
    </font>
    <font>
      <sz val="8"/>
      <name val="Calibri"/>
      <family val="2"/>
      <scheme val="minor"/>
    </font>
    <font>
      <b/>
      <sz val="10"/>
      <color theme="0"/>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theme="1"/>
      </patternFill>
    </fill>
    <fill>
      <patternFill patternType="solid">
        <fgColor theme="1"/>
        <bgColor indexed="64"/>
      </patternFill>
    </fill>
    <fill>
      <patternFill patternType="solid">
        <fgColor rgb="FFCC99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A7A7"/>
        <bgColor indexed="64"/>
      </patternFill>
    </fill>
    <fill>
      <patternFill patternType="solid">
        <fgColor rgb="FF9999FF"/>
        <bgColor indexed="64"/>
      </patternFill>
    </fill>
    <fill>
      <patternFill patternType="solid">
        <fgColor rgb="FFB4C6E7"/>
        <bgColor indexed="6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indexed="64"/>
      </left>
      <right/>
      <top/>
      <bottom style="thin">
        <color rgb="FFFF0000"/>
      </bottom>
      <diagonal/>
    </border>
    <border>
      <left/>
      <right/>
      <top style="thin">
        <color rgb="FFFF0000"/>
      </top>
      <bottom/>
      <diagonal/>
    </border>
    <border>
      <left style="medium">
        <color indexed="64"/>
      </left>
      <right/>
      <top style="thin">
        <color rgb="FFFF0000"/>
      </top>
      <bottom/>
      <diagonal/>
    </border>
    <border>
      <left/>
      <right style="medium">
        <color indexed="64"/>
      </right>
      <top style="thin">
        <color rgb="FFFF0000"/>
      </top>
      <bottom/>
      <diagonal/>
    </border>
    <border>
      <left/>
      <right/>
      <top/>
      <bottom style="thin">
        <color rgb="FFFF0000"/>
      </bottom>
      <diagonal/>
    </border>
    <border>
      <left/>
      <right style="medium">
        <color indexed="64"/>
      </right>
      <top/>
      <bottom style="thin">
        <color rgb="FFFF0000"/>
      </bottom>
      <diagonal/>
    </border>
    <border>
      <left/>
      <right/>
      <top style="thin">
        <color theme="5"/>
      </top>
      <bottom/>
      <diagonal/>
    </border>
    <border>
      <left/>
      <right/>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style="thin">
        <color theme="5"/>
      </bottom>
      <diagonal/>
    </border>
    <border>
      <left/>
      <right style="medium">
        <color indexed="64"/>
      </right>
      <top/>
      <bottom style="thin">
        <color theme="5"/>
      </bottom>
      <diagonal/>
    </border>
    <border>
      <left style="medium">
        <color indexed="64"/>
      </left>
      <right/>
      <top style="thin">
        <color theme="7"/>
      </top>
      <bottom/>
      <diagonal/>
    </border>
    <border>
      <left/>
      <right/>
      <top style="thin">
        <color theme="7"/>
      </top>
      <bottom/>
      <diagonal/>
    </border>
    <border>
      <left/>
      <right style="medium">
        <color indexed="64"/>
      </right>
      <top style="thin">
        <color theme="7"/>
      </top>
      <bottom/>
      <diagonal/>
    </border>
    <border>
      <left style="medium">
        <color indexed="64"/>
      </left>
      <right/>
      <top/>
      <bottom style="thin">
        <color theme="7"/>
      </bottom>
      <diagonal/>
    </border>
    <border>
      <left/>
      <right/>
      <top/>
      <bottom style="thin">
        <color theme="7"/>
      </bottom>
      <diagonal/>
    </border>
    <border>
      <left/>
      <right style="medium">
        <color indexed="64"/>
      </right>
      <top/>
      <bottom style="thin">
        <color theme="7"/>
      </bottom>
      <diagonal/>
    </border>
    <border>
      <left/>
      <right/>
      <top style="thin">
        <color theme="9"/>
      </top>
      <bottom/>
      <diagonal/>
    </border>
    <border>
      <left style="medium">
        <color indexed="64"/>
      </left>
      <right/>
      <top style="thin">
        <color theme="9"/>
      </top>
      <bottom/>
      <diagonal/>
    </border>
    <border>
      <left/>
      <right style="medium">
        <color indexed="64"/>
      </right>
      <top style="thin">
        <color theme="9"/>
      </top>
      <bottom/>
      <diagonal/>
    </border>
    <border>
      <left style="medium">
        <color indexed="64"/>
      </left>
      <right/>
      <top/>
      <bottom style="thin">
        <color theme="9"/>
      </bottom>
      <diagonal/>
    </border>
    <border>
      <left/>
      <right/>
      <top/>
      <bottom style="thin">
        <color theme="9"/>
      </bottom>
      <diagonal/>
    </border>
    <border>
      <left/>
      <right style="medium">
        <color indexed="64"/>
      </right>
      <top/>
      <bottom style="thin">
        <color theme="9"/>
      </bottom>
      <diagonal/>
    </border>
    <border>
      <left style="medium">
        <color indexed="64"/>
      </left>
      <right/>
      <top style="thin">
        <color theme="8"/>
      </top>
      <bottom/>
      <diagonal/>
    </border>
    <border>
      <left/>
      <right/>
      <top style="thin">
        <color theme="8"/>
      </top>
      <bottom/>
      <diagonal/>
    </border>
    <border>
      <left/>
      <right style="medium">
        <color indexed="64"/>
      </right>
      <top style="thin">
        <color theme="8"/>
      </top>
      <bottom/>
      <diagonal/>
    </border>
    <border>
      <left style="medium">
        <color indexed="64"/>
      </left>
      <right/>
      <top/>
      <bottom style="thin">
        <color theme="8"/>
      </bottom>
      <diagonal/>
    </border>
    <border>
      <left/>
      <right/>
      <top/>
      <bottom style="thin">
        <color theme="8"/>
      </bottom>
      <diagonal/>
    </border>
    <border>
      <left/>
      <right style="medium">
        <color indexed="64"/>
      </right>
      <top/>
      <bottom style="thin">
        <color theme="8"/>
      </bottom>
      <diagonal/>
    </border>
    <border>
      <left style="medium">
        <color indexed="64"/>
      </left>
      <right/>
      <top style="thin">
        <color theme="4"/>
      </top>
      <bottom/>
      <diagonal/>
    </border>
    <border>
      <left/>
      <right/>
      <top style="thin">
        <color theme="4"/>
      </top>
      <bottom/>
      <diagonal/>
    </border>
    <border>
      <left/>
      <right style="medium">
        <color indexed="64"/>
      </right>
      <top style="thin">
        <color theme="4"/>
      </top>
      <bottom/>
      <diagonal/>
    </border>
    <border>
      <left style="medium">
        <color indexed="64"/>
      </left>
      <right/>
      <top/>
      <bottom style="thin">
        <color theme="4"/>
      </bottom>
      <diagonal/>
    </border>
    <border>
      <left/>
      <right/>
      <top/>
      <bottom style="thin">
        <color theme="4"/>
      </bottom>
      <diagonal/>
    </border>
    <border>
      <left/>
      <right style="medium">
        <color indexed="64"/>
      </right>
      <top/>
      <bottom style="thin">
        <color theme="4"/>
      </bottom>
      <diagonal/>
    </border>
    <border>
      <left style="medium">
        <color indexed="64"/>
      </left>
      <right/>
      <top style="thin">
        <color rgb="FF7030A0"/>
      </top>
      <bottom/>
      <diagonal/>
    </border>
    <border>
      <left/>
      <right/>
      <top style="thin">
        <color rgb="FF7030A0"/>
      </top>
      <bottom/>
      <diagonal/>
    </border>
    <border>
      <left/>
      <right style="medium">
        <color indexed="64"/>
      </right>
      <top style="thin">
        <color rgb="FF7030A0"/>
      </top>
      <bottom/>
      <diagonal/>
    </border>
    <border>
      <left style="medium">
        <color indexed="64"/>
      </left>
      <right/>
      <top/>
      <bottom style="thin">
        <color rgb="FF7030A0"/>
      </bottom>
      <diagonal/>
    </border>
    <border>
      <left/>
      <right/>
      <top/>
      <bottom style="thin">
        <color rgb="FF7030A0"/>
      </bottom>
      <diagonal/>
    </border>
    <border>
      <left/>
      <right style="medium">
        <color indexed="64"/>
      </right>
      <top/>
      <bottom style="thin">
        <color rgb="FF7030A0"/>
      </bottom>
      <diagonal/>
    </border>
    <border>
      <left style="medium">
        <color indexed="64"/>
      </left>
      <right style="medium">
        <color indexed="64"/>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thin">
        <color indexed="64"/>
      </left>
      <right/>
      <top/>
      <bottom/>
      <diagonal/>
    </border>
    <border>
      <left/>
      <right style="thin">
        <color indexed="64"/>
      </right>
      <top/>
      <bottom/>
      <diagonal/>
    </border>
    <border>
      <left style="thin">
        <color theme="0"/>
      </left>
      <right/>
      <top/>
      <bottom/>
      <diagonal/>
    </border>
    <border>
      <left/>
      <right style="thin">
        <color theme="0"/>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theme="0"/>
      </left>
      <right style="thin">
        <color theme="0"/>
      </right>
      <top/>
      <bottom/>
      <diagonal/>
    </border>
    <border>
      <left style="thin">
        <color theme="1"/>
      </left>
      <right/>
      <top/>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9" fontId="1" fillId="0" borderId="0" applyFont="0" applyFill="0" applyBorder="0" applyAlignment="0" applyProtection="0"/>
  </cellStyleXfs>
  <cellXfs count="378">
    <xf numFmtId="0" fontId="0" fillId="0" borderId="0" xfId="0"/>
    <xf numFmtId="0" fontId="17" fillId="0" borderId="0" xfId="0" applyFont="1" applyBorder="1" applyAlignment="1">
      <alignment horizontal="center" vertical="center"/>
    </xf>
    <xf numFmtId="0" fontId="19" fillId="36" borderId="0" xfId="0" applyFont="1" applyFill="1" applyBorder="1"/>
    <xf numFmtId="0" fontId="19" fillId="0" borderId="0" xfId="0" applyFont="1" applyBorder="1"/>
    <xf numFmtId="44" fontId="19" fillId="0" borderId="0" xfId="1" applyFont="1" applyBorder="1"/>
    <xf numFmtId="44" fontId="19" fillId="36" borderId="0" xfId="0" applyNumberFormat="1" applyFont="1" applyFill="1" applyBorder="1"/>
    <xf numFmtId="44" fontId="19" fillId="36" borderId="0" xfId="1" applyFont="1" applyFill="1" applyBorder="1"/>
    <xf numFmtId="0" fontId="20" fillId="0" borderId="0" xfId="0" applyFont="1" applyBorder="1"/>
    <xf numFmtId="0" fontId="21" fillId="34" borderId="0" xfId="0" applyFont="1" applyFill="1" applyBorder="1"/>
    <xf numFmtId="44" fontId="21" fillId="34" borderId="0" xfId="0" applyNumberFormat="1" applyFont="1" applyFill="1" applyBorder="1"/>
    <xf numFmtId="44" fontId="21" fillId="34" borderId="0" xfId="1" applyFont="1" applyFill="1" applyBorder="1"/>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8" fillId="36" borderId="13" xfId="0" applyFont="1" applyFill="1" applyBorder="1"/>
    <xf numFmtId="0" fontId="19" fillId="36" borderId="14" xfId="0" applyFont="1" applyFill="1" applyBorder="1"/>
    <xf numFmtId="44" fontId="19" fillId="0" borderId="14" xfId="1" applyFont="1" applyBorder="1"/>
    <xf numFmtId="0" fontId="18" fillId="36" borderId="13" xfId="0" applyFont="1" applyFill="1" applyBorder="1" applyAlignment="1">
      <alignment horizontal="right"/>
    </xf>
    <xf numFmtId="44" fontId="19" fillId="36" borderId="14" xfId="0" applyNumberFormat="1" applyFont="1" applyFill="1" applyBorder="1"/>
    <xf numFmtId="0" fontId="18" fillId="0" borderId="13" xfId="0" applyFont="1" applyBorder="1"/>
    <xf numFmtId="0" fontId="19" fillId="0" borderId="14" xfId="0" applyFont="1" applyBorder="1"/>
    <xf numFmtId="0" fontId="19" fillId="0" borderId="13" xfId="0" applyFont="1" applyBorder="1"/>
    <xf numFmtId="44" fontId="19" fillId="36" borderId="14" xfId="1" applyFont="1" applyFill="1" applyBorder="1"/>
    <xf numFmtId="0" fontId="18" fillId="0" borderId="13" xfId="0" applyFont="1" applyBorder="1" applyAlignment="1">
      <alignment horizontal="right"/>
    </xf>
    <xf numFmtId="0" fontId="20" fillId="0" borderId="13" xfId="0" applyFont="1" applyBorder="1"/>
    <xf numFmtId="0" fontId="20" fillId="0" borderId="14" xfId="0" applyFont="1" applyBorder="1"/>
    <xf numFmtId="0" fontId="17" fillId="34" borderId="13" xfId="0" applyFont="1" applyFill="1" applyBorder="1" applyAlignment="1">
      <alignment horizontal="right"/>
    </xf>
    <xf numFmtId="44" fontId="21" fillId="34" borderId="14" xfId="1" applyFont="1" applyFill="1" applyBorder="1"/>
    <xf numFmtId="0" fontId="17" fillId="34" borderId="15" xfId="0" applyFont="1" applyFill="1" applyBorder="1" applyAlignment="1">
      <alignment horizontal="right"/>
    </xf>
    <xf numFmtId="0" fontId="21" fillId="34" borderId="16" xfId="0" applyFont="1" applyFill="1" applyBorder="1"/>
    <xf numFmtId="44" fontId="21" fillId="34" borderId="16" xfId="0" applyNumberFormat="1" applyFont="1" applyFill="1" applyBorder="1"/>
    <xf numFmtId="44" fontId="21" fillId="34" borderId="16" xfId="1" applyFont="1" applyFill="1" applyBorder="1"/>
    <xf numFmtId="44" fontId="21" fillId="34" borderId="17" xfId="1" applyFont="1" applyFill="1" applyBorder="1"/>
    <xf numFmtId="0" fontId="12" fillId="33" borderId="19" xfId="0" applyFont="1" applyFill="1" applyBorder="1"/>
    <xf numFmtId="0" fontId="12" fillId="33" borderId="20" xfId="0" applyFont="1" applyFill="1" applyBorder="1"/>
    <xf numFmtId="14" fontId="23" fillId="0" borderId="0" xfId="0" applyNumberFormat="1" applyFont="1"/>
    <xf numFmtId="0" fontId="23" fillId="0" borderId="0" xfId="0" applyFont="1"/>
    <xf numFmtId="0" fontId="0" fillId="0" borderId="0" xfId="0"/>
    <xf numFmtId="0" fontId="18" fillId="41" borderId="21" xfId="0" applyFont="1" applyFill="1" applyBorder="1" applyAlignment="1">
      <alignment horizontal="right"/>
    </xf>
    <xf numFmtId="0" fontId="18" fillId="41" borderId="23" xfId="0" applyFont="1" applyFill="1" applyBorder="1"/>
    <xf numFmtId="0" fontId="19" fillId="41" borderId="22" xfId="0" applyFont="1" applyFill="1" applyBorder="1"/>
    <xf numFmtId="0" fontId="19" fillId="41" borderId="24" xfId="0" applyFont="1" applyFill="1" applyBorder="1"/>
    <xf numFmtId="0" fontId="19" fillId="41" borderId="25" xfId="0" applyFont="1" applyFill="1" applyBorder="1"/>
    <xf numFmtId="44" fontId="18" fillId="41" borderId="25" xfId="0" applyNumberFormat="1" applyFont="1" applyFill="1" applyBorder="1"/>
    <xf numFmtId="44" fontId="18" fillId="41" borderId="26" xfId="0" applyNumberFormat="1" applyFont="1" applyFill="1" applyBorder="1"/>
    <xf numFmtId="0" fontId="18" fillId="40" borderId="29" xfId="0" applyFont="1" applyFill="1" applyBorder="1"/>
    <xf numFmtId="0" fontId="19" fillId="40" borderId="27" xfId="0" applyFont="1" applyFill="1" applyBorder="1"/>
    <xf numFmtId="0" fontId="19" fillId="40" borderId="30" xfId="0" applyFont="1" applyFill="1" applyBorder="1"/>
    <xf numFmtId="0" fontId="18" fillId="40" borderId="31" xfId="0" applyFont="1" applyFill="1" applyBorder="1" applyAlignment="1">
      <alignment horizontal="right"/>
    </xf>
    <xf numFmtId="0" fontId="19" fillId="40" borderId="28" xfId="0" applyFont="1" applyFill="1" applyBorder="1"/>
    <xf numFmtId="44" fontId="18" fillId="40" borderId="28" xfId="0" applyNumberFormat="1" applyFont="1" applyFill="1" applyBorder="1"/>
    <xf numFmtId="44" fontId="18" fillId="40" borderId="32" xfId="0" applyNumberFormat="1" applyFont="1" applyFill="1" applyBorder="1"/>
    <xf numFmtId="0" fontId="18" fillId="39" borderId="33" xfId="0" applyFont="1" applyFill="1" applyBorder="1"/>
    <xf numFmtId="0" fontId="19" fillId="39" borderId="34" xfId="0" applyFont="1" applyFill="1" applyBorder="1"/>
    <xf numFmtId="0" fontId="19" fillId="39" borderId="35" xfId="0" applyFont="1" applyFill="1" applyBorder="1"/>
    <xf numFmtId="0" fontId="18" fillId="39" borderId="36" xfId="0" applyFont="1" applyFill="1" applyBorder="1" applyAlignment="1">
      <alignment horizontal="right"/>
    </xf>
    <xf numFmtId="0" fontId="19" fillId="39" borderId="37" xfId="0" applyFont="1" applyFill="1" applyBorder="1"/>
    <xf numFmtId="44" fontId="18" fillId="39" borderId="37" xfId="0" applyNumberFormat="1" applyFont="1" applyFill="1" applyBorder="1"/>
    <xf numFmtId="44" fontId="18" fillId="39" borderId="38" xfId="0" applyNumberFormat="1" applyFont="1" applyFill="1" applyBorder="1"/>
    <xf numFmtId="0" fontId="18" fillId="38" borderId="40" xfId="0" applyFont="1" applyFill="1" applyBorder="1"/>
    <xf numFmtId="0" fontId="19" fillId="38" borderId="39" xfId="0" applyFont="1" applyFill="1" applyBorder="1"/>
    <xf numFmtId="0" fontId="19" fillId="38" borderId="41" xfId="0" applyFont="1" applyFill="1" applyBorder="1"/>
    <xf numFmtId="0" fontId="18" fillId="38" borderId="42" xfId="0" applyFont="1" applyFill="1" applyBorder="1" applyAlignment="1">
      <alignment horizontal="right"/>
    </xf>
    <xf numFmtId="0" fontId="19" fillId="38" borderId="43" xfId="0" applyFont="1" applyFill="1" applyBorder="1"/>
    <xf numFmtId="44" fontId="18" fillId="38" borderId="43" xfId="0" applyNumberFormat="1" applyFont="1" applyFill="1" applyBorder="1"/>
    <xf numFmtId="44" fontId="18" fillId="38" borderId="43" xfId="1" applyFont="1" applyFill="1" applyBorder="1"/>
    <xf numFmtId="44" fontId="18" fillId="38" borderId="44" xfId="1" applyFont="1" applyFill="1" applyBorder="1"/>
    <xf numFmtId="0" fontId="18" fillId="37" borderId="45" xfId="0" applyFont="1" applyFill="1" applyBorder="1"/>
    <xf numFmtId="0" fontId="19" fillId="37" borderId="46" xfId="0" applyFont="1" applyFill="1" applyBorder="1"/>
    <xf numFmtId="0" fontId="19" fillId="37" borderId="47" xfId="0" applyFont="1" applyFill="1" applyBorder="1"/>
    <xf numFmtId="0" fontId="18" fillId="37" borderId="48" xfId="0" applyFont="1" applyFill="1" applyBorder="1" applyAlignment="1">
      <alignment horizontal="right"/>
    </xf>
    <xf numFmtId="0" fontId="19" fillId="37" borderId="49" xfId="0" applyFont="1" applyFill="1" applyBorder="1"/>
    <xf numFmtId="44" fontId="18" fillId="37" borderId="49" xfId="0" applyNumberFormat="1" applyFont="1" applyFill="1" applyBorder="1"/>
    <xf numFmtId="44" fontId="18" fillId="37" borderId="50" xfId="0" applyNumberFormat="1" applyFont="1" applyFill="1" applyBorder="1"/>
    <xf numFmtId="0" fontId="18" fillId="42" borderId="51" xfId="0" applyFont="1" applyFill="1" applyBorder="1"/>
    <xf numFmtId="0" fontId="19" fillId="42" borderId="52" xfId="0" applyFont="1" applyFill="1" applyBorder="1"/>
    <xf numFmtId="0" fontId="19" fillId="42" borderId="53" xfId="0" applyFont="1" applyFill="1" applyBorder="1"/>
    <xf numFmtId="0" fontId="18" fillId="42" borderId="54" xfId="0" applyFont="1" applyFill="1" applyBorder="1" applyAlignment="1">
      <alignment horizontal="right"/>
    </xf>
    <xf numFmtId="0" fontId="18" fillId="42" borderId="55" xfId="0" applyFont="1" applyFill="1" applyBorder="1"/>
    <xf numFmtId="44" fontId="18" fillId="42" borderId="55" xfId="0" applyNumberFormat="1" applyFont="1" applyFill="1" applyBorder="1"/>
    <xf numFmtId="44" fontId="18" fillId="42" borderId="56" xfId="0" applyNumberFormat="1" applyFont="1" applyFill="1" applyBorder="1"/>
    <xf numFmtId="0" fontId="18" fillId="35" borderId="57" xfId="0" applyFont="1" applyFill="1" applyBorder="1"/>
    <xf numFmtId="0" fontId="19" fillId="35" borderId="58" xfId="0" applyFont="1" applyFill="1" applyBorder="1"/>
    <xf numFmtId="0" fontId="19" fillId="35" borderId="59" xfId="0" applyFont="1" applyFill="1" applyBorder="1"/>
    <xf numFmtId="0" fontId="18" fillId="35" borderId="60" xfId="0" applyFont="1" applyFill="1" applyBorder="1" applyAlignment="1">
      <alignment horizontal="right"/>
    </xf>
    <xf numFmtId="0" fontId="18" fillId="35" borderId="61" xfId="0" applyFont="1" applyFill="1" applyBorder="1"/>
    <xf numFmtId="44" fontId="18" fillId="35" borderId="61" xfId="0" applyNumberFormat="1" applyFont="1" applyFill="1" applyBorder="1"/>
    <xf numFmtId="44" fontId="18" fillId="35" borderId="62" xfId="0" applyNumberFormat="1" applyFont="1" applyFill="1" applyBorder="1"/>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4" xfId="0" applyFont="1" applyFill="1" applyBorder="1" applyAlignment="1">
      <alignment horizontal="center" vertical="center"/>
    </xf>
    <xf numFmtId="0" fontId="25" fillId="33" borderId="18" xfId="0" applyFont="1" applyFill="1" applyBorder="1"/>
    <xf numFmtId="0" fontId="25" fillId="33" borderId="19" xfId="0" applyFont="1" applyFill="1" applyBorder="1"/>
    <xf numFmtId="0" fontId="25" fillId="33" borderId="20" xfId="0" applyFont="1" applyFill="1" applyBorder="1"/>
    <xf numFmtId="44" fontId="0" fillId="0" borderId="0" xfId="0" applyNumberFormat="1"/>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4" xfId="0" applyFont="1" applyFill="1" applyBorder="1" applyAlignment="1">
      <alignment horizontal="center" vertical="center"/>
    </xf>
    <xf numFmtId="44" fontId="19" fillId="0" borderId="14" xfId="1" applyFont="1" applyBorder="1" applyAlignment="1"/>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9" fillId="0" borderId="0" xfId="0" applyFont="1"/>
    <xf numFmtId="0" fontId="17" fillId="34" borderId="67" xfId="0" applyFont="1" applyFill="1" applyBorder="1" applyAlignment="1">
      <alignment horizontal="center" vertical="center"/>
    </xf>
    <xf numFmtId="0" fontId="17" fillId="34" borderId="0" xfId="0" applyFont="1" applyFill="1" applyAlignment="1">
      <alignment horizontal="center" vertical="center"/>
    </xf>
    <xf numFmtId="0" fontId="17" fillId="34" borderId="69" xfId="0" applyFont="1" applyFill="1" applyBorder="1" applyAlignment="1">
      <alignment horizontal="center" vertical="center"/>
    </xf>
    <xf numFmtId="0" fontId="20" fillId="0" borderId="0" xfId="0" applyFont="1"/>
    <xf numFmtId="0" fontId="17" fillId="0" borderId="67" xfId="0" applyFont="1" applyBorder="1" applyAlignment="1">
      <alignment horizontal="center" vertical="center"/>
    </xf>
    <xf numFmtId="0" fontId="17" fillId="0" borderId="0" xfId="0" applyFont="1" applyAlignment="1">
      <alignment horizontal="center" vertical="center"/>
    </xf>
    <xf numFmtId="0" fontId="19" fillId="36" borderId="0" xfId="0" applyFont="1" applyFill="1"/>
    <xf numFmtId="44" fontId="19" fillId="0" borderId="0" xfId="1" applyFont="1"/>
    <xf numFmtId="44" fontId="19" fillId="0" borderId="0" xfId="0" applyNumberFormat="1" applyFont="1"/>
    <xf numFmtId="0" fontId="19" fillId="38" borderId="0" xfId="0" applyFont="1" applyFill="1"/>
    <xf numFmtId="44" fontId="18" fillId="38" borderId="69" xfId="1" applyFont="1" applyFill="1" applyBorder="1"/>
    <xf numFmtId="0" fontId="19" fillId="39" borderId="0" xfId="0" applyFont="1" applyFill="1"/>
    <xf numFmtId="44" fontId="18" fillId="39" borderId="69" xfId="1" applyFont="1" applyFill="1" applyBorder="1"/>
    <xf numFmtId="0" fontId="19" fillId="40" borderId="0" xfId="0" applyFont="1" applyFill="1"/>
    <xf numFmtId="44" fontId="18" fillId="40" borderId="69" xfId="1" applyFont="1" applyFill="1" applyBorder="1"/>
    <xf numFmtId="0" fontId="19" fillId="41" borderId="0" xfId="0" applyFont="1" applyFill="1"/>
    <xf numFmtId="44" fontId="18" fillId="41" borderId="69" xfId="1" applyFont="1" applyFill="1" applyBorder="1"/>
    <xf numFmtId="0" fontId="17" fillId="0" borderId="0" xfId="0" applyFont="1" applyFill="1" applyBorder="1" applyAlignment="1">
      <alignment horizontal="center" vertical="center"/>
    </xf>
    <xf numFmtId="0" fontId="18" fillId="35" borderId="0" xfId="0" applyFont="1" applyFill="1" applyBorder="1"/>
    <xf numFmtId="0" fontId="19" fillId="35" borderId="0" xfId="0" applyFont="1" applyFill="1" applyBorder="1"/>
    <xf numFmtId="0" fontId="18" fillId="36" borderId="0" xfId="0" applyFont="1" applyFill="1" applyBorder="1"/>
    <xf numFmtId="0" fontId="18" fillId="36" borderId="0" xfId="0" applyFont="1" applyFill="1" applyBorder="1" applyAlignment="1">
      <alignment horizontal="right"/>
    </xf>
    <xf numFmtId="0" fontId="18" fillId="35" borderId="0" xfId="0" applyFont="1" applyFill="1" applyBorder="1" applyAlignment="1">
      <alignment horizontal="right"/>
    </xf>
    <xf numFmtId="0" fontId="18" fillId="42" borderId="0" xfId="0" applyFont="1" applyFill="1" applyBorder="1"/>
    <xf numFmtId="0" fontId="19" fillId="42" borderId="0" xfId="0" applyFont="1" applyFill="1" applyBorder="1"/>
    <xf numFmtId="0" fontId="18" fillId="42" borderId="0" xfId="0" applyFont="1" applyFill="1" applyBorder="1" applyAlignment="1">
      <alignment horizontal="right"/>
    </xf>
    <xf numFmtId="0" fontId="18" fillId="0" borderId="0" xfId="0" applyFont="1" applyBorder="1"/>
    <xf numFmtId="0" fontId="18" fillId="38" borderId="0" xfId="0" applyFont="1" applyFill="1" applyBorder="1"/>
    <xf numFmtId="0" fontId="19" fillId="38" borderId="0" xfId="0" applyFont="1" applyFill="1" applyBorder="1"/>
    <xf numFmtId="0" fontId="18" fillId="38" borderId="0" xfId="0" applyFont="1" applyFill="1" applyBorder="1" applyAlignment="1">
      <alignment horizontal="right"/>
    </xf>
    <xf numFmtId="0" fontId="18" fillId="39" borderId="0" xfId="0" applyFont="1" applyFill="1" applyBorder="1"/>
    <xf numFmtId="0" fontId="19" fillId="39" borderId="0" xfId="0" applyFont="1" applyFill="1" applyBorder="1"/>
    <xf numFmtId="0" fontId="18" fillId="39" borderId="0" xfId="0" applyFont="1" applyFill="1" applyBorder="1" applyAlignment="1">
      <alignment horizontal="right"/>
    </xf>
    <xf numFmtId="0" fontId="18" fillId="40" borderId="0" xfId="0" applyFont="1" applyFill="1" applyBorder="1"/>
    <xf numFmtId="0" fontId="19" fillId="40" borderId="0" xfId="0" applyFont="1" applyFill="1" applyBorder="1"/>
    <xf numFmtId="0" fontId="18" fillId="0" borderId="0" xfId="0" applyFont="1" applyBorder="1" applyAlignment="1">
      <alignment horizontal="right"/>
    </xf>
    <xf numFmtId="0" fontId="18" fillId="40" borderId="0" xfId="0" applyFont="1" applyFill="1" applyBorder="1" applyAlignment="1">
      <alignment horizontal="right"/>
    </xf>
    <xf numFmtId="0" fontId="18" fillId="41" borderId="0" xfId="0" applyFont="1" applyFill="1" applyBorder="1"/>
    <xf numFmtId="0" fontId="19" fillId="41" borderId="0" xfId="0" applyFont="1" applyFill="1" applyBorder="1"/>
    <xf numFmtId="0" fontId="18" fillId="41" borderId="0" xfId="0" applyFont="1" applyFill="1" applyBorder="1" applyAlignment="1">
      <alignment horizontal="right"/>
    </xf>
    <xf numFmtId="0" fontId="17" fillId="34" borderId="0" xfId="0" applyFont="1" applyFill="1" applyBorder="1" applyAlignment="1">
      <alignment vertical="center"/>
    </xf>
    <xf numFmtId="0" fontId="19" fillId="34" borderId="0" xfId="0" applyFont="1" applyFill="1"/>
    <xf numFmtId="0" fontId="19" fillId="35" borderId="0" xfId="0" applyFont="1" applyFill="1"/>
    <xf numFmtId="0" fontId="19" fillId="42" borderId="0" xfId="0" applyFont="1" applyFill="1"/>
    <xf numFmtId="0" fontId="18" fillId="43" borderId="0" xfId="0" applyFont="1" applyFill="1" applyBorder="1"/>
    <xf numFmtId="0" fontId="19" fillId="43" borderId="0" xfId="0" applyFont="1" applyFill="1" applyBorder="1"/>
    <xf numFmtId="0" fontId="19" fillId="43" borderId="0" xfId="0" applyFont="1" applyFill="1"/>
    <xf numFmtId="0" fontId="18" fillId="43" borderId="0" xfId="0" applyFont="1" applyFill="1" applyBorder="1" applyAlignment="1">
      <alignment horizontal="right"/>
    </xf>
    <xf numFmtId="44" fontId="19" fillId="36" borderId="0" xfId="1" applyFont="1" applyFill="1"/>
    <xf numFmtId="44" fontId="19" fillId="35" borderId="0" xfId="1" applyFont="1" applyFill="1"/>
    <xf numFmtId="44" fontId="19" fillId="42" borderId="0" xfId="1" applyFont="1" applyFill="1"/>
    <xf numFmtId="44" fontId="19" fillId="34" borderId="0" xfId="1" applyFont="1" applyFill="1"/>
    <xf numFmtId="44" fontId="19" fillId="43" borderId="0" xfId="1" applyFont="1" applyFill="1"/>
    <xf numFmtId="44" fontId="19" fillId="38" borderId="0" xfId="1" applyFont="1" applyFill="1"/>
    <xf numFmtId="44" fontId="19" fillId="39" borderId="0" xfId="1" applyFont="1" applyFill="1"/>
    <xf numFmtId="44" fontId="19" fillId="40" borderId="0" xfId="1" applyFont="1" applyFill="1"/>
    <xf numFmtId="44" fontId="19" fillId="41" borderId="0" xfId="1" applyFont="1" applyFill="1"/>
    <xf numFmtId="44" fontId="19" fillId="35" borderId="0" xfId="0" applyNumberFormat="1" applyFont="1" applyFill="1"/>
    <xf numFmtId="44" fontId="19" fillId="42" borderId="0" xfId="0" applyNumberFormat="1" applyFont="1" applyFill="1"/>
    <xf numFmtId="44" fontId="19" fillId="43" borderId="0" xfId="0" applyNumberFormat="1" applyFont="1" applyFill="1"/>
    <xf numFmtId="44" fontId="19" fillId="38" borderId="0" xfId="0" applyNumberFormat="1" applyFont="1" applyFill="1"/>
    <xf numFmtId="44" fontId="19" fillId="39" borderId="0" xfId="0" applyNumberFormat="1" applyFont="1" applyFill="1"/>
    <xf numFmtId="44" fontId="19" fillId="40" borderId="0" xfId="0" applyNumberFormat="1" applyFont="1" applyFill="1"/>
    <xf numFmtId="44" fontId="19" fillId="41" borderId="0" xfId="0" applyNumberFormat="1" applyFont="1" applyFill="1"/>
    <xf numFmtId="44" fontId="17" fillId="34" borderId="69" xfId="1" applyFont="1" applyFill="1" applyBorder="1" applyAlignment="1">
      <alignment horizontal="center" vertical="center"/>
    </xf>
    <xf numFmtId="44" fontId="17" fillId="0" borderId="69" xfId="1" applyFont="1" applyBorder="1" applyAlignment="1">
      <alignment horizontal="center" vertical="center"/>
    </xf>
    <xf numFmtId="44" fontId="17" fillId="0" borderId="68" xfId="1" applyFont="1" applyBorder="1" applyAlignment="1">
      <alignment horizontal="center" vertical="center"/>
    </xf>
    <xf numFmtId="44" fontId="19" fillId="0" borderId="69" xfId="1" applyFont="1" applyBorder="1"/>
    <xf numFmtId="44" fontId="19" fillId="34" borderId="69" xfId="1" applyFont="1" applyFill="1" applyBorder="1"/>
    <xf numFmtId="44" fontId="19" fillId="35" borderId="69" xfId="1" applyFont="1" applyFill="1" applyBorder="1"/>
    <xf numFmtId="44" fontId="19" fillId="36" borderId="69" xfId="1" applyFont="1" applyFill="1" applyBorder="1"/>
    <xf numFmtId="44" fontId="19" fillId="42" borderId="69" xfId="1" applyFont="1" applyFill="1" applyBorder="1"/>
    <xf numFmtId="44" fontId="19" fillId="43" borderId="69" xfId="1" applyFont="1" applyFill="1" applyBorder="1"/>
    <xf numFmtId="44" fontId="19" fillId="38" borderId="69" xfId="1" applyFont="1" applyFill="1" applyBorder="1"/>
    <xf numFmtId="44" fontId="19" fillId="39" borderId="69" xfId="1" applyFont="1" applyFill="1" applyBorder="1"/>
    <xf numFmtId="44" fontId="19" fillId="40" borderId="69" xfId="1" applyFont="1" applyFill="1" applyBorder="1"/>
    <xf numFmtId="44" fontId="19" fillId="41" borderId="69" xfId="1" applyFont="1" applyFill="1" applyBorder="1"/>
    <xf numFmtId="0" fontId="19" fillId="0" borderId="70" xfId="0" applyFont="1" applyBorder="1"/>
    <xf numFmtId="0" fontId="17" fillId="34" borderId="70" xfId="0" applyFont="1" applyFill="1" applyBorder="1" applyAlignment="1">
      <alignment horizontal="center" vertical="center"/>
    </xf>
    <xf numFmtId="0" fontId="17" fillId="0" borderId="70" xfId="0" applyFont="1" applyBorder="1" applyAlignment="1">
      <alignment horizontal="center" vertical="center"/>
    </xf>
    <xf numFmtId="0" fontId="19" fillId="34" borderId="70" xfId="0" applyFont="1" applyFill="1" applyBorder="1"/>
    <xf numFmtId="0" fontId="19" fillId="35" borderId="70" xfId="0" applyFont="1" applyFill="1" applyBorder="1"/>
    <xf numFmtId="0" fontId="19" fillId="36" borderId="70" xfId="0" applyFont="1" applyFill="1" applyBorder="1"/>
    <xf numFmtId="44" fontId="19" fillId="0" borderId="70" xfId="1" applyFont="1" applyBorder="1"/>
    <xf numFmtId="44" fontId="19" fillId="36" borderId="70" xfId="1" applyFont="1" applyFill="1" applyBorder="1"/>
    <xf numFmtId="44" fontId="19" fillId="35" borderId="70" xfId="1" applyFont="1" applyFill="1" applyBorder="1"/>
    <xf numFmtId="44" fontId="19" fillId="42" borderId="70" xfId="1" applyFont="1" applyFill="1" applyBorder="1"/>
    <xf numFmtId="44" fontId="19" fillId="34" borderId="70" xfId="1" applyFont="1" applyFill="1" applyBorder="1"/>
    <xf numFmtId="44" fontId="19" fillId="43" borderId="70" xfId="1" applyFont="1" applyFill="1" applyBorder="1"/>
    <xf numFmtId="44" fontId="19" fillId="38" borderId="70" xfId="1" applyFont="1" applyFill="1" applyBorder="1"/>
    <xf numFmtId="44" fontId="19" fillId="39" borderId="70" xfId="1" applyFont="1" applyFill="1" applyBorder="1"/>
    <xf numFmtId="44" fontId="19" fillId="40" borderId="70" xfId="1" applyFont="1" applyFill="1" applyBorder="1"/>
    <xf numFmtId="44" fontId="19" fillId="41" borderId="70" xfId="1" applyFont="1" applyFill="1" applyBorder="1"/>
    <xf numFmtId="44" fontId="17" fillId="34" borderId="68" xfId="1" applyFont="1" applyFill="1" applyBorder="1" applyAlignment="1">
      <alignment horizontal="center" vertical="center"/>
    </xf>
    <xf numFmtId="44" fontId="19" fillId="35" borderId="0" xfId="1" applyFont="1" applyFill="1" applyBorder="1"/>
    <xf numFmtId="44" fontId="19" fillId="42" borderId="0" xfId="1" applyFont="1" applyFill="1" applyBorder="1"/>
    <xf numFmtId="44" fontId="19" fillId="43" borderId="0" xfId="1" applyFont="1" applyFill="1" applyBorder="1"/>
    <xf numFmtId="44" fontId="19" fillId="38" borderId="0" xfId="1" applyFont="1" applyFill="1" applyBorder="1"/>
    <xf numFmtId="44" fontId="19" fillId="39" borderId="0" xfId="1" applyFont="1" applyFill="1" applyBorder="1"/>
    <xf numFmtId="44" fontId="19" fillId="40" borderId="0" xfId="1" applyFont="1" applyFill="1" applyBorder="1"/>
    <xf numFmtId="44" fontId="19" fillId="41" borderId="0" xfId="1" applyFont="1" applyFill="1" applyBorder="1"/>
    <xf numFmtId="44" fontId="19" fillId="0" borderId="0" xfId="1" applyFont="1" applyFill="1"/>
    <xf numFmtId="44" fontId="19" fillId="0" borderId="69" xfId="1" applyFont="1" applyFill="1" applyBorder="1"/>
    <xf numFmtId="0" fontId="27" fillId="34" borderId="0" xfId="0" applyFont="1" applyFill="1"/>
    <xf numFmtId="44" fontId="27" fillId="34" borderId="0" xfId="1" applyFont="1" applyFill="1"/>
    <xf numFmtId="0" fontId="17" fillId="34" borderId="0" xfId="0" applyFont="1" applyFill="1"/>
    <xf numFmtId="44" fontId="27" fillId="34" borderId="0" xfId="0" applyNumberFormat="1" applyFont="1" applyFill="1"/>
    <xf numFmtId="44" fontId="27" fillId="34" borderId="71" xfId="1" applyFont="1" applyFill="1" applyBorder="1"/>
    <xf numFmtId="0" fontId="27" fillId="34" borderId="72" xfId="0" applyFont="1" applyFill="1" applyBorder="1"/>
    <xf numFmtId="0" fontId="27" fillId="34" borderId="0" xfId="0" applyFont="1" applyFill="1" applyBorder="1" applyAlignment="1">
      <alignment vertical="center"/>
    </xf>
    <xf numFmtId="44" fontId="27" fillId="34" borderId="71" xfId="0" applyNumberFormat="1" applyFont="1" applyFill="1" applyBorder="1"/>
    <xf numFmtId="0" fontId="19" fillId="0" borderId="0" xfId="0" applyFont="1" applyFill="1" applyBorder="1" applyAlignment="1">
      <alignment horizontal="left"/>
    </xf>
    <xf numFmtId="44" fontId="18" fillId="35" borderId="0" xfId="1" applyFont="1" applyFill="1"/>
    <xf numFmtId="44" fontId="18" fillId="35" borderId="69" xfId="1" applyFont="1" applyFill="1" applyBorder="1"/>
    <xf numFmtId="0" fontId="18" fillId="0" borderId="0" xfId="0" applyFont="1"/>
    <xf numFmtId="44" fontId="18" fillId="42" borderId="0" xfId="1" applyFont="1" applyFill="1"/>
    <xf numFmtId="44" fontId="18" fillId="42" borderId="69" xfId="1" applyFont="1" applyFill="1" applyBorder="1"/>
    <xf numFmtId="44" fontId="18" fillId="43" borderId="0" xfId="1" applyFont="1" applyFill="1"/>
    <xf numFmtId="44" fontId="18" fillId="43" borderId="69" xfId="1" applyFont="1" applyFill="1" applyBorder="1"/>
    <xf numFmtId="44" fontId="18" fillId="38" borderId="0" xfId="1" applyFont="1" applyFill="1"/>
    <xf numFmtId="44" fontId="18" fillId="39" borderId="0" xfId="1" applyFont="1" applyFill="1"/>
    <xf numFmtId="44" fontId="18" fillId="40" borderId="0" xfId="1" applyFont="1" applyFill="1"/>
    <xf numFmtId="44" fontId="18" fillId="41" borderId="0" xfId="1" applyFont="1" applyFill="1"/>
    <xf numFmtId="10" fontId="19" fillId="0" borderId="0" xfId="43" applyNumberFormat="1" applyFont="1"/>
    <xf numFmtId="10" fontId="17" fillId="34" borderId="69" xfId="43" applyNumberFormat="1" applyFont="1" applyFill="1" applyBorder="1" applyAlignment="1">
      <alignment horizontal="center" vertical="center"/>
    </xf>
    <xf numFmtId="0" fontId="17" fillId="34" borderId="73" xfId="0" applyFont="1" applyFill="1" applyBorder="1" applyAlignment="1">
      <alignment horizontal="center" vertical="center"/>
    </xf>
    <xf numFmtId="0" fontId="19" fillId="0" borderId="13" xfId="0" applyFont="1" applyFill="1" applyBorder="1" applyAlignment="1">
      <alignment horizontal="left"/>
    </xf>
    <xf numFmtId="44" fontId="19" fillId="0" borderId="0" xfId="1" applyFont="1" applyFill="1" applyBorder="1"/>
    <xf numFmtId="10" fontId="19" fillId="0" borderId="0" xfId="43" applyNumberFormat="1" applyFont="1" applyFill="1" applyBorder="1"/>
    <xf numFmtId="44" fontId="19" fillId="0" borderId="14" xfId="1" applyFont="1" applyFill="1" applyBorder="1"/>
    <xf numFmtId="0" fontId="18" fillId="35" borderId="13" xfId="0" applyFont="1" applyFill="1" applyBorder="1" applyAlignment="1">
      <alignment horizontal="right"/>
    </xf>
    <xf numFmtId="10" fontId="19" fillId="35" borderId="0" xfId="43" applyNumberFormat="1" applyFont="1" applyFill="1" applyBorder="1"/>
    <xf numFmtId="44" fontId="19" fillId="35" borderId="14" xfId="1" applyFont="1" applyFill="1" applyBorder="1"/>
    <xf numFmtId="10" fontId="19" fillId="0" borderId="0" xfId="43" applyNumberFormat="1" applyFont="1" applyBorder="1"/>
    <xf numFmtId="0" fontId="18" fillId="42" borderId="13" xfId="0" applyFont="1" applyFill="1" applyBorder="1" applyAlignment="1">
      <alignment horizontal="right"/>
    </xf>
    <xf numFmtId="10" fontId="19" fillId="42" borderId="0" xfId="43" applyNumberFormat="1" applyFont="1" applyFill="1" applyBorder="1"/>
    <xf numFmtId="44" fontId="19" fillId="42" borderId="14" xfId="1" applyFont="1" applyFill="1" applyBorder="1"/>
    <xf numFmtId="0" fontId="19" fillId="0" borderId="13" xfId="0" applyFont="1" applyFill="1" applyBorder="1" applyAlignment="1">
      <alignment horizontal="right"/>
    </xf>
    <xf numFmtId="0" fontId="18" fillId="43" borderId="13" xfId="0" applyFont="1" applyFill="1" applyBorder="1" applyAlignment="1">
      <alignment horizontal="right"/>
    </xf>
    <xf numFmtId="10" fontId="19" fillId="43" borderId="0" xfId="43" applyNumberFormat="1" applyFont="1" applyFill="1" applyBorder="1"/>
    <xf numFmtId="44" fontId="19" fillId="43" borderId="14" xfId="1" applyFont="1" applyFill="1" applyBorder="1"/>
    <xf numFmtId="0" fontId="18" fillId="38" borderId="13" xfId="0" applyFont="1" applyFill="1" applyBorder="1" applyAlignment="1">
      <alignment horizontal="right"/>
    </xf>
    <xf numFmtId="10" fontId="19" fillId="38" borderId="0" xfId="43" applyNumberFormat="1" applyFont="1" applyFill="1" applyBorder="1"/>
    <xf numFmtId="44" fontId="19" fillId="38" borderId="14" xfId="1" applyFont="1" applyFill="1" applyBorder="1"/>
    <xf numFmtId="0" fontId="18" fillId="39" borderId="13" xfId="0" applyFont="1" applyFill="1" applyBorder="1" applyAlignment="1">
      <alignment horizontal="right"/>
    </xf>
    <xf numFmtId="10" fontId="19" fillId="39" borderId="0" xfId="43" applyNumberFormat="1" applyFont="1" applyFill="1" applyBorder="1"/>
    <xf numFmtId="44" fontId="19" fillId="39" borderId="14" xfId="1" applyFont="1" applyFill="1" applyBorder="1"/>
    <xf numFmtId="0" fontId="18" fillId="40" borderId="13" xfId="0" applyFont="1" applyFill="1" applyBorder="1" applyAlignment="1">
      <alignment horizontal="right"/>
    </xf>
    <xf numFmtId="10" fontId="19" fillId="40" borderId="0" xfId="43" applyNumberFormat="1" applyFont="1" applyFill="1" applyBorder="1"/>
    <xf numFmtId="44" fontId="19" fillId="40" borderId="14" xfId="1" applyFont="1" applyFill="1" applyBorder="1"/>
    <xf numFmtId="0" fontId="18" fillId="41" borderId="13" xfId="0" applyFont="1" applyFill="1" applyBorder="1" applyAlignment="1">
      <alignment horizontal="right"/>
    </xf>
    <xf numFmtId="10" fontId="19" fillId="41" borderId="0" xfId="43" applyNumberFormat="1" applyFont="1" applyFill="1" applyBorder="1"/>
    <xf numFmtId="44" fontId="19" fillId="41" borderId="14" xfId="1" applyFont="1" applyFill="1" applyBorder="1"/>
    <xf numFmtId="0" fontId="27" fillId="34" borderId="13" xfId="0" applyFont="1" applyFill="1" applyBorder="1"/>
    <xf numFmtId="44" fontId="27" fillId="34" borderId="0" xfId="0" applyNumberFormat="1" applyFont="1" applyFill="1" applyBorder="1"/>
    <xf numFmtId="10" fontId="27" fillId="34" borderId="0" xfId="43" applyNumberFormat="1" applyFont="1" applyFill="1" applyBorder="1"/>
    <xf numFmtId="44" fontId="27" fillId="34" borderId="14" xfId="0" applyNumberFormat="1" applyFont="1" applyFill="1" applyBorder="1"/>
    <xf numFmtId="0" fontId="27" fillId="34" borderId="15" xfId="0" applyFont="1" applyFill="1" applyBorder="1"/>
    <xf numFmtId="44" fontId="27" fillId="34" borderId="16" xfId="0" applyNumberFormat="1" applyFont="1" applyFill="1" applyBorder="1"/>
    <xf numFmtId="10" fontId="27" fillId="34" borderId="16" xfId="43" applyNumberFormat="1" applyFont="1" applyFill="1" applyBorder="1"/>
    <xf numFmtId="44" fontId="27" fillId="34" borderId="17" xfId="0" applyNumberFormat="1" applyFont="1" applyFill="1" applyBorder="1"/>
    <xf numFmtId="0" fontId="18" fillId="0" borderId="13" xfId="0" applyFont="1" applyFill="1" applyBorder="1" applyAlignment="1">
      <alignment horizontal="right"/>
    </xf>
    <xf numFmtId="0" fontId="17" fillId="34" borderId="74" xfId="0" applyFont="1" applyFill="1" applyBorder="1" applyAlignment="1">
      <alignment horizontal="center" vertical="center"/>
    </xf>
    <xf numFmtId="0" fontId="17" fillId="0" borderId="74" xfId="0" applyFont="1" applyBorder="1" applyAlignment="1">
      <alignment horizontal="center" vertical="center"/>
    </xf>
    <xf numFmtId="0" fontId="19" fillId="34" borderId="74" xfId="0" applyFont="1" applyFill="1" applyBorder="1"/>
    <xf numFmtId="0" fontId="19" fillId="0" borderId="74" xfId="0" applyFont="1" applyBorder="1"/>
    <xf numFmtId="0" fontId="19" fillId="35" borderId="74" xfId="0" applyFont="1" applyFill="1" applyBorder="1"/>
    <xf numFmtId="44" fontId="19" fillId="0" borderId="74" xfId="1" applyFont="1" applyFill="1" applyBorder="1"/>
    <xf numFmtId="44" fontId="18" fillId="35" borderId="74" xfId="1" applyFont="1" applyFill="1" applyBorder="1"/>
    <xf numFmtId="0" fontId="19" fillId="42" borderId="74" xfId="0" applyFont="1" applyFill="1" applyBorder="1"/>
    <xf numFmtId="44" fontId="18" fillId="42" borderId="74" xfId="1" applyFont="1" applyFill="1" applyBorder="1"/>
    <xf numFmtId="0" fontId="19" fillId="43" borderId="74" xfId="0" applyFont="1" applyFill="1" applyBorder="1"/>
    <xf numFmtId="44" fontId="18" fillId="43" borderId="74" xfId="1" applyFont="1" applyFill="1" applyBorder="1"/>
    <xf numFmtId="0" fontId="19" fillId="38" borderId="74" xfId="0" applyFont="1" applyFill="1" applyBorder="1"/>
    <xf numFmtId="44" fontId="18" fillId="38" borderId="74" xfId="1" applyFont="1" applyFill="1" applyBorder="1"/>
    <xf numFmtId="0" fontId="19" fillId="39" borderId="74" xfId="0" applyFont="1" applyFill="1" applyBorder="1"/>
    <xf numFmtId="44" fontId="18" fillId="39" borderId="74" xfId="1" applyFont="1" applyFill="1" applyBorder="1"/>
    <xf numFmtId="0" fontId="19" fillId="40" borderId="74" xfId="0" applyFont="1" applyFill="1" applyBorder="1"/>
    <xf numFmtId="44" fontId="18" fillId="40" borderId="74" xfId="1" applyFont="1" applyFill="1" applyBorder="1"/>
    <xf numFmtId="0" fontId="19" fillId="41" borderId="74" xfId="0" applyFont="1" applyFill="1" applyBorder="1"/>
    <xf numFmtId="44" fontId="18" fillId="41" borderId="74" xfId="1" applyFont="1" applyFill="1" applyBorder="1"/>
    <xf numFmtId="44" fontId="27" fillId="34" borderId="75" xfId="0" applyNumberFormat="1" applyFont="1" applyFill="1" applyBorder="1"/>
    <xf numFmtId="0" fontId="27" fillId="34" borderId="0" xfId="0" applyFont="1" applyFill="1" applyAlignment="1">
      <alignment horizontal="right"/>
    </xf>
    <xf numFmtId="0" fontId="27" fillId="34" borderId="0" xfId="0" applyFont="1" applyFill="1" applyBorder="1"/>
    <xf numFmtId="0" fontId="17" fillId="34" borderId="0" xfId="0" applyFont="1" applyFill="1" applyAlignment="1">
      <alignment horizontal="right"/>
    </xf>
    <xf numFmtId="0" fontId="17" fillId="34" borderId="76" xfId="0" applyFont="1" applyFill="1" applyBorder="1" applyAlignment="1">
      <alignment horizontal="center" vertical="center"/>
    </xf>
    <xf numFmtId="0" fontId="17" fillId="0" borderId="76" xfId="0" applyFont="1" applyBorder="1" applyAlignment="1">
      <alignment horizontal="center" vertical="center"/>
    </xf>
    <xf numFmtId="0" fontId="19" fillId="34" borderId="76" xfId="0" applyFont="1" applyFill="1" applyBorder="1"/>
    <xf numFmtId="0" fontId="19" fillId="0" borderId="76" xfId="0" applyFont="1" applyBorder="1"/>
    <xf numFmtId="0" fontId="19" fillId="35" borderId="76" xfId="0" applyFont="1" applyFill="1" applyBorder="1"/>
    <xf numFmtId="44" fontId="19" fillId="0" borderId="76" xfId="1" applyFont="1" applyFill="1" applyBorder="1"/>
    <xf numFmtId="44" fontId="18" fillId="35" borderId="76" xfId="1" applyFont="1" applyFill="1" applyBorder="1"/>
    <xf numFmtId="44" fontId="19" fillId="0" borderId="76" xfId="1" applyFont="1" applyBorder="1"/>
    <xf numFmtId="44" fontId="19" fillId="42" borderId="76" xfId="1" applyFont="1" applyFill="1" applyBorder="1"/>
    <xf numFmtId="44" fontId="18" fillId="42" borderId="76" xfId="1" applyFont="1" applyFill="1" applyBorder="1"/>
    <xf numFmtId="44" fontId="19" fillId="34" borderId="76" xfId="1" applyFont="1" applyFill="1" applyBorder="1"/>
    <xf numFmtId="44" fontId="19" fillId="43" borderId="76" xfId="1" applyFont="1" applyFill="1" applyBorder="1"/>
    <xf numFmtId="44" fontId="18" fillId="43" borderId="76" xfId="1" applyFont="1" applyFill="1" applyBorder="1"/>
    <xf numFmtId="44" fontId="19" fillId="38" borderId="76" xfId="1" applyFont="1" applyFill="1" applyBorder="1"/>
    <xf numFmtId="44" fontId="18" fillId="38" borderId="76" xfId="1" applyFont="1" applyFill="1" applyBorder="1"/>
    <xf numFmtId="44" fontId="19" fillId="39" borderId="76" xfId="1" applyFont="1" applyFill="1" applyBorder="1"/>
    <xf numFmtId="44" fontId="18" fillId="39" borderId="76" xfId="1" applyFont="1" applyFill="1" applyBorder="1"/>
    <xf numFmtId="44" fontId="19" fillId="40" borderId="76" xfId="1" applyFont="1" applyFill="1" applyBorder="1"/>
    <xf numFmtId="44" fontId="18" fillId="40" borderId="76" xfId="1" applyFont="1" applyFill="1" applyBorder="1"/>
    <xf numFmtId="44" fontId="19" fillId="41" borderId="76" xfId="1" applyFont="1" applyFill="1" applyBorder="1"/>
    <xf numFmtId="44" fontId="18" fillId="41" borderId="76" xfId="1" applyFont="1" applyFill="1" applyBorder="1"/>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4" xfId="0" applyFont="1" applyFill="1" applyBorder="1" applyAlignment="1">
      <alignment horizontal="center" vertical="center"/>
    </xf>
    <xf numFmtId="164" fontId="23" fillId="0" borderId="0" xfId="0" applyNumberFormat="1" applyFont="1"/>
    <xf numFmtId="0" fontId="18" fillId="39" borderId="13" xfId="0" applyFont="1" applyFill="1" applyBorder="1" applyAlignment="1">
      <alignment horizontal="center"/>
    </xf>
    <xf numFmtId="0" fontId="18" fillId="39" borderId="0" xfId="0" applyFont="1" applyFill="1" applyBorder="1" applyAlignment="1">
      <alignment horizontal="center"/>
    </xf>
    <xf numFmtId="0" fontId="18" fillId="39" borderId="14" xfId="0" applyFont="1" applyFill="1" applyBorder="1" applyAlignment="1">
      <alignment horizontal="center"/>
    </xf>
    <xf numFmtId="0" fontId="18" fillId="40" borderId="13" xfId="0" applyFont="1" applyFill="1" applyBorder="1" applyAlignment="1">
      <alignment horizontal="center"/>
    </xf>
    <xf numFmtId="0" fontId="18" fillId="40" borderId="0" xfId="0" applyFont="1" applyFill="1" applyBorder="1" applyAlignment="1">
      <alignment horizontal="center"/>
    </xf>
    <xf numFmtId="0" fontId="18" fillId="40" borderId="14" xfId="0" applyFont="1" applyFill="1" applyBorder="1" applyAlignment="1">
      <alignment horizontal="center"/>
    </xf>
    <xf numFmtId="0" fontId="18" fillId="41" borderId="13" xfId="0" applyFont="1" applyFill="1" applyBorder="1" applyAlignment="1">
      <alignment horizontal="center"/>
    </xf>
    <xf numFmtId="0" fontId="18" fillId="41" borderId="0" xfId="0" applyFont="1" applyFill="1" applyBorder="1" applyAlignment="1">
      <alignment horizontal="center"/>
    </xf>
    <xf numFmtId="0" fontId="18" fillId="41" borderId="14" xfId="0" applyFont="1" applyFill="1" applyBorder="1" applyAlignment="1">
      <alignment horizontal="center"/>
    </xf>
    <xf numFmtId="0" fontId="17" fillId="34" borderId="13"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4" xfId="0" applyFont="1" applyFill="1" applyBorder="1" applyAlignment="1">
      <alignment horizontal="center" vertical="center"/>
    </xf>
    <xf numFmtId="0" fontId="18" fillId="38" borderId="13" xfId="0" applyFont="1" applyFill="1" applyBorder="1" applyAlignment="1">
      <alignment horizontal="center"/>
    </xf>
    <xf numFmtId="0" fontId="18" fillId="38" borderId="0" xfId="0" applyFont="1" applyFill="1" applyBorder="1" applyAlignment="1">
      <alignment horizontal="center"/>
    </xf>
    <xf numFmtId="0" fontId="18" fillId="38" borderId="14" xfId="0" applyFont="1" applyFill="1" applyBorder="1" applyAlignment="1">
      <alignment horizontal="center"/>
    </xf>
    <xf numFmtId="0" fontId="24" fillId="34" borderId="10" xfId="0" applyFont="1" applyFill="1" applyBorder="1" applyAlignment="1">
      <alignment horizontal="center" vertical="center"/>
    </xf>
    <xf numFmtId="0" fontId="24" fillId="34" borderId="11" xfId="0" applyFont="1" applyFill="1" applyBorder="1" applyAlignment="1">
      <alignment horizontal="center" vertical="center"/>
    </xf>
    <xf numFmtId="0" fontId="24" fillId="34" borderId="12" xfId="0" applyFont="1" applyFill="1" applyBorder="1" applyAlignment="1">
      <alignment horizontal="center" vertical="center"/>
    </xf>
    <xf numFmtId="0" fontId="24" fillId="34" borderId="13" xfId="0" applyFont="1" applyFill="1" applyBorder="1" applyAlignment="1">
      <alignment horizontal="center" vertical="center"/>
    </xf>
    <xf numFmtId="0" fontId="24" fillId="34" borderId="0" xfId="0" applyFont="1" applyFill="1" applyBorder="1" applyAlignment="1">
      <alignment horizontal="center" vertical="center"/>
    </xf>
    <xf numFmtId="0" fontId="24" fillId="34" borderId="14" xfId="0" applyFont="1" applyFill="1" applyBorder="1" applyAlignment="1">
      <alignment horizontal="center" vertical="center"/>
    </xf>
    <xf numFmtId="0" fontId="18" fillId="35" borderId="13" xfId="0" applyFont="1" applyFill="1" applyBorder="1" applyAlignment="1">
      <alignment horizontal="center"/>
    </xf>
    <xf numFmtId="0" fontId="18" fillId="35" borderId="0" xfId="0" applyFont="1" applyFill="1" applyBorder="1" applyAlignment="1">
      <alignment horizontal="center"/>
    </xf>
    <xf numFmtId="0" fontId="18" fillId="35" borderId="14" xfId="0" applyFont="1" applyFill="1" applyBorder="1" applyAlignment="1">
      <alignment horizontal="center"/>
    </xf>
    <xf numFmtId="0" fontId="18" fillId="42" borderId="13" xfId="0" applyFont="1" applyFill="1" applyBorder="1" applyAlignment="1">
      <alignment horizontal="center"/>
    </xf>
    <xf numFmtId="0" fontId="18" fillId="42" borderId="0" xfId="0" applyFont="1" applyFill="1" applyBorder="1" applyAlignment="1">
      <alignment horizontal="center"/>
    </xf>
    <xf numFmtId="0" fontId="18" fillId="42" borderId="14" xfId="0" applyFont="1" applyFill="1" applyBorder="1" applyAlignment="1">
      <alignment horizontal="center"/>
    </xf>
    <xf numFmtId="0" fontId="18" fillId="43" borderId="13" xfId="0" applyFont="1" applyFill="1" applyBorder="1" applyAlignment="1">
      <alignment horizontal="center"/>
    </xf>
    <xf numFmtId="0" fontId="18" fillId="43" borderId="0" xfId="0" applyFont="1" applyFill="1" applyBorder="1" applyAlignment="1">
      <alignment horizontal="center"/>
    </xf>
    <xf numFmtId="0" fontId="18" fillId="43" borderId="14" xfId="0" applyFont="1" applyFill="1" applyBorder="1" applyAlignment="1">
      <alignment horizontal="center"/>
    </xf>
    <xf numFmtId="0" fontId="24" fillId="34" borderId="64" xfId="0" applyFont="1" applyFill="1" applyBorder="1" applyAlignment="1">
      <alignment horizontal="center" vertical="center"/>
    </xf>
    <xf numFmtId="0" fontId="24" fillId="34" borderId="65" xfId="0" applyFont="1" applyFill="1" applyBorder="1" applyAlignment="1">
      <alignment horizontal="center" vertical="center"/>
    </xf>
    <xf numFmtId="0" fontId="24" fillId="34" borderId="66" xfId="0" applyFont="1" applyFill="1" applyBorder="1" applyAlignment="1">
      <alignment horizontal="center" vertical="center"/>
    </xf>
    <xf numFmtId="0" fontId="24" fillId="34" borderId="67" xfId="0" applyFont="1" applyFill="1" applyBorder="1" applyAlignment="1">
      <alignment horizontal="center" vertical="center"/>
    </xf>
    <xf numFmtId="0" fontId="24" fillId="34" borderId="0" xfId="0" applyFont="1" applyFill="1" applyAlignment="1">
      <alignment horizontal="center" vertical="center"/>
    </xf>
    <xf numFmtId="0" fontId="24" fillId="34" borderId="68" xfId="0" applyFont="1" applyFill="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44">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37" xr:uid="{0DA9DFAE-9563-45EC-A5F7-DD8CC9A63490}"/>
    <cellStyle name="60% - Accent2 2" xfId="38" xr:uid="{3E354959-4CDE-44DC-A1AD-1361D2F96FA8}"/>
    <cellStyle name="60% - Accent3 2" xfId="39" xr:uid="{E54B8C09-402A-41DD-BD5F-478B315F670C}"/>
    <cellStyle name="60% - Accent4 2" xfId="40" xr:uid="{0480FBDA-8403-45F4-9E9A-5CDDC44C6C05}"/>
    <cellStyle name="60% - Accent5 2" xfId="41" xr:uid="{329A4A65-D90E-4FC1-BA9F-2064681F877A}"/>
    <cellStyle name="60% - Accent6 2" xfId="42" xr:uid="{4605EA0B-13DC-4682-9C40-744994C31333}"/>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8" builtinId="27" customBuiltin="1"/>
    <cellStyle name="Calculation" xfId="11" builtinId="22" customBuiltin="1"/>
    <cellStyle name="Check Cell" xfId="13" builtinId="23" customBuiltin="1"/>
    <cellStyle name="Currency" xfId="1" builtinId="4"/>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2" xfId="36" xr:uid="{83D0A2DA-AD48-4A9A-9F3C-BC8AB7336512}"/>
    <cellStyle name="Normal" xfId="0" builtinId="0"/>
    <cellStyle name="Note" xfId="15" builtinId="10" customBuiltin="1"/>
    <cellStyle name="Output" xfId="10" builtinId="21" customBuiltin="1"/>
    <cellStyle name="Percent" xfId="43" builtinId="5"/>
    <cellStyle name="Title" xfId="2" builtinId="15" customBuiltin="1"/>
    <cellStyle name="Total" xfId="17" builtinId="25" customBuiltin="1"/>
    <cellStyle name="Warning Text" xfId="14" builtinId="11" customBuiltin="1"/>
  </cellStyles>
  <dxfs count="538">
    <dxf>
      <font>
        <strike val="0"/>
        <outline val="0"/>
        <shadow val="0"/>
        <u val="none"/>
        <vertAlign val="baseline"/>
        <sz val="12"/>
        <color theme="1"/>
        <name val="Courier New"/>
        <family val="3"/>
        <scheme val="none"/>
      </font>
      <numFmt numFmtId="164" formatCode="m/d/yyyy"/>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theme="9"/>
      </font>
      <fill>
        <patternFill patternType="solid">
          <bgColor rgb="FF00B050"/>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b val="0"/>
        <i val="0"/>
        <strike val="0"/>
        <condense val="0"/>
        <extend val="0"/>
        <outline val="0"/>
        <shadow val="0"/>
        <u val="none"/>
        <vertAlign val="baseline"/>
        <sz val="12"/>
        <color theme="1"/>
        <name val="Courier New"/>
        <family val="3"/>
        <scheme val="none"/>
      </font>
      <numFmt numFmtId="164" formatCode="m/d/yyyy"/>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font>
        <b val="0"/>
        <i val="0"/>
        <strike val="0"/>
        <condense val="0"/>
        <extend val="0"/>
        <outline val="0"/>
        <shadow val="0"/>
        <u val="none"/>
        <vertAlign val="baseline"/>
        <sz val="12"/>
        <color theme="1"/>
        <name val="Courier New"/>
        <family val="3"/>
        <scheme val="none"/>
      </font>
    </dxf>
    <dxf>
      <border outline="0">
        <top style="thin">
          <color theme="1"/>
        </top>
      </border>
    </dxf>
    <dxf>
      <font>
        <b val="0"/>
        <i val="0"/>
        <strike val="0"/>
        <condense val="0"/>
        <extend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strike val="0"/>
        <outline val="0"/>
        <shadow val="0"/>
        <u val="none"/>
        <vertAlign val="baseline"/>
        <sz val="12"/>
        <color theme="1"/>
        <name val="Courier New"/>
        <family val="3"/>
        <scheme val="none"/>
      </font>
      <numFmt numFmtId="164" formatCode="m/d/yyyy"/>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theme="9"/>
      </font>
      <fill>
        <patternFill patternType="solid">
          <bgColor rgb="FF00B050"/>
        </patternFill>
      </fill>
    </dxf>
    <dxf>
      <font>
        <strike val="0"/>
        <outline val="0"/>
        <shadow val="0"/>
        <u val="none"/>
        <vertAlign val="baseline"/>
        <sz val="12"/>
        <color theme="1"/>
        <name val="Courier New"/>
        <family val="3"/>
        <scheme val="none"/>
      </font>
      <numFmt numFmtId="164" formatCode="m/d/yyyy"/>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border outline="0">
        <top style="thin">
          <color theme="1"/>
        </top>
      </border>
    </dxf>
    <dxf>
      <font>
        <strike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theme="9"/>
      </font>
      <fill>
        <patternFill patternType="solid">
          <bgColor rgb="FF00B050"/>
        </patternFill>
      </fill>
    </dxf>
    <dxf>
      <font>
        <strike val="0"/>
        <outline val="0"/>
        <shadow val="0"/>
        <u val="none"/>
        <vertAlign val="baseline"/>
        <sz val="12"/>
        <color theme="1"/>
        <name val="Courier New"/>
        <family val="3"/>
        <scheme val="none"/>
      </font>
      <numFmt numFmtId="164" formatCode="m/d/yyyy"/>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border outline="0">
        <top style="thin">
          <color theme="1"/>
        </top>
      </border>
    </dxf>
    <dxf>
      <font>
        <strike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theme="9"/>
      </font>
      <fill>
        <patternFill patternType="solid">
          <bgColor rgb="FF00B050"/>
        </patternFill>
      </fill>
    </dxf>
    <dxf>
      <font>
        <color rgb="FF00B050"/>
      </font>
      <fill>
        <patternFill>
          <bgColor rgb="FF00B050"/>
        </patternFill>
      </fill>
    </dxf>
    <dxf>
      <font>
        <strike val="0"/>
        <outline val="0"/>
        <shadow val="0"/>
        <u val="none"/>
        <vertAlign val="baseline"/>
        <sz val="12"/>
        <color theme="1"/>
        <name val="Courier New"/>
        <family val="3"/>
        <scheme val="none"/>
      </font>
      <numFmt numFmtId="164" formatCode="m/d/yyyy"/>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border outline="0">
        <top style="thin">
          <color theme="1"/>
        </top>
      </border>
    </dxf>
    <dxf>
      <font>
        <strike val="0"/>
        <outline val="0"/>
        <shadow val="0"/>
        <u val="none"/>
        <vertAlign val="baseline"/>
        <sz val="12"/>
        <color theme="1"/>
        <name val="Courier New"/>
        <family val="3"/>
        <scheme val="none"/>
      </font>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theme="9"/>
      </font>
      <fill>
        <patternFill patternType="solid">
          <bgColor rgb="FF00B050"/>
        </patternFill>
      </fill>
    </dxf>
    <dxf>
      <font>
        <strike val="0"/>
        <outline val="0"/>
        <shadow val="0"/>
        <u val="none"/>
        <vertAlign val="baseline"/>
        <sz val="12"/>
        <color theme="1"/>
        <name val="Courier New"/>
        <family val="3"/>
        <scheme val="none"/>
      </font>
      <numFmt numFmtId="164" formatCode="m/d/yyyy"/>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border outline="0">
        <top style="thin">
          <color rgb="FF000000"/>
        </top>
      </border>
    </dxf>
    <dxf>
      <font>
        <strike val="0"/>
        <outline val="0"/>
        <shadow val="0"/>
        <u val="none"/>
        <vertAlign val="baseline"/>
        <sz val="12"/>
        <color theme="1"/>
        <name val="Courier New"/>
        <family val="3"/>
        <scheme val="none"/>
      </font>
    </dxf>
    <dxf>
      <border outline="0">
        <bottom style="thin">
          <color rgb="FF000000"/>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theme="9"/>
      </font>
      <fill>
        <patternFill patternType="solid">
          <bgColor rgb="FF00B050"/>
        </patternFill>
      </fill>
    </dxf>
    <dxf>
      <font>
        <strike val="0"/>
        <outline val="0"/>
        <shadow val="0"/>
        <u val="none"/>
        <vertAlign val="baseline"/>
        <sz val="12"/>
        <color theme="1"/>
        <name val="Courier New"/>
        <family val="3"/>
        <scheme val="none"/>
      </font>
      <numFmt numFmtId="164" formatCode="m/d/yyyy"/>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border outline="0">
        <top style="thin">
          <color rgb="FF000000"/>
        </top>
      </border>
    </dxf>
    <dxf>
      <font>
        <strike val="0"/>
        <outline val="0"/>
        <shadow val="0"/>
        <u val="none"/>
        <vertAlign val="baseline"/>
        <sz val="12"/>
        <color theme="1"/>
        <name val="Courier New"/>
        <family val="3"/>
        <scheme val="none"/>
      </font>
    </dxf>
    <dxf>
      <border outline="0">
        <bottom style="thin">
          <color rgb="FF000000"/>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theme="9"/>
      </font>
      <fill>
        <patternFill patternType="solid">
          <bgColor rgb="FF00B050"/>
        </patternFill>
      </fill>
    </dxf>
    <dxf>
      <font>
        <strike val="0"/>
        <outline val="0"/>
        <shadow val="0"/>
        <u val="none"/>
        <vertAlign val="baseline"/>
        <sz val="12"/>
        <color theme="1"/>
        <name val="Courier New"/>
        <family val="3"/>
        <scheme val="none"/>
      </font>
      <numFmt numFmtId="164" formatCode="m/d/yyyy"/>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border outline="0">
        <top style="thin">
          <color rgb="FF000000"/>
        </top>
      </border>
    </dxf>
    <dxf>
      <font>
        <strike val="0"/>
        <outline val="0"/>
        <shadow val="0"/>
        <u val="none"/>
        <vertAlign val="baseline"/>
        <sz val="12"/>
        <color theme="1"/>
        <name val="Courier New"/>
        <family val="3"/>
        <scheme val="none"/>
      </font>
    </dxf>
    <dxf>
      <border outline="0">
        <bottom style="thin">
          <color rgb="FF000000"/>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theme="9"/>
      </font>
      <fill>
        <patternFill patternType="solid">
          <bgColor rgb="FF00B050"/>
        </patternFill>
      </fill>
    </dxf>
    <dxf>
      <font>
        <strike val="0"/>
        <outline val="0"/>
        <shadow val="0"/>
        <u val="none"/>
        <vertAlign val="baseline"/>
        <sz val="12"/>
        <color theme="1"/>
        <name val="Courier New"/>
        <family val="3"/>
        <scheme val="none"/>
      </font>
      <numFmt numFmtId="164" formatCode="m/d/yyyy"/>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border outline="0">
        <top style="thin">
          <color rgb="FF000000"/>
        </top>
      </border>
    </dxf>
    <dxf>
      <font>
        <strike val="0"/>
        <outline val="0"/>
        <shadow val="0"/>
        <u val="none"/>
        <vertAlign val="baseline"/>
        <sz val="12"/>
        <color theme="1"/>
        <name val="Courier New"/>
        <family val="3"/>
        <scheme val="none"/>
      </font>
    </dxf>
    <dxf>
      <border outline="0">
        <bottom style="thin">
          <color rgb="FF000000"/>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theme="9"/>
      </font>
      <fill>
        <patternFill patternType="solid">
          <bgColor rgb="FF00B050"/>
        </patternFill>
      </fill>
    </dxf>
    <dxf>
      <font>
        <strike val="0"/>
        <outline val="0"/>
        <shadow val="0"/>
        <u val="none"/>
        <vertAlign val="baseline"/>
        <sz val="12"/>
        <color theme="1"/>
        <name val="Courier New"/>
        <family val="3"/>
        <scheme val="none"/>
      </font>
      <numFmt numFmtId="164" formatCode="m/d/yyyy"/>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border outline="0">
        <top style="thin">
          <color rgb="FF000000"/>
        </top>
      </border>
    </dxf>
    <dxf>
      <font>
        <strike val="0"/>
        <outline val="0"/>
        <shadow val="0"/>
        <u val="none"/>
        <vertAlign val="baseline"/>
        <sz val="12"/>
        <color rgb="FF000000"/>
        <name val="Courier New"/>
        <family val="3"/>
        <scheme val="none"/>
      </font>
    </dxf>
    <dxf>
      <border outline="0">
        <bottom style="thin">
          <color rgb="FF000000"/>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color rgb="FFFF0000"/>
      </font>
      <fill>
        <patternFill>
          <bgColor rgb="FFFF0000"/>
        </patternFill>
      </fill>
    </dxf>
    <dxf>
      <font>
        <color theme="9"/>
      </font>
      <fill>
        <patternFill patternType="solid">
          <bgColor rgb="FF00B050"/>
        </patternFill>
      </fill>
    </dxf>
    <dxf>
      <font>
        <color rgb="FFFF0000"/>
      </font>
      <fill>
        <patternFill>
          <bgColor rgb="FFFF0000"/>
        </patternFill>
      </fill>
    </dxf>
    <dxf>
      <font>
        <color theme="9"/>
      </font>
      <fill>
        <patternFill patternType="solid">
          <bgColor rgb="FF00B05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strike val="0"/>
        <outline val="0"/>
        <shadow val="0"/>
        <u val="none"/>
        <vertAlign val="baseline"/>
        <sz val="12"/>
        <color theme="1"/>
        <name val="Courier New"/>
        <family val="3"/>
        <scheme val="none"/>
      </font>
      <numFmt numFmtId="164" formatCode="m/d/yyyy"/>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font>
        <strike val="0"/>
        <outline val="0"/>
        <shadow val="0"/>
        <u val="none"/>
        <vertAlign val="baseline"/>
        <sz val="12"/>
        <color theme="1"/>
        <name val="Courier New"/>
        <family val="3"/>
        <scheme val="none"/>
      </font>
    </dxf>
    <dxf>
      <border outline="0">
        <top style="thin">
          <color rgb="FF000000"/>
        </top>
      </border>
    </dxf>
    <dxf>
      <font>
        <strike val="0"/>
        <outline val="0"/>
        <shadow val="0"/>
        <u val="none"/>
        <vertAlign val="baseline"/>
        <sz val="12"/>
        <color rgb="FF000000"/>
        <name val="Courier New"/>
        <family val="3"/>
        <scheme val="none"/>
      </font>
    </dxf>
    <dxf>
      <border outline="0">
        <bottom style="thin">
          <color rgb="FF000000"/>
        </bottom>
      </border>
    </dxf>
    <dxf>
      <font>
        <b/>
        <i val="0"/>
        <strike val="0"/>
        <condense val="0"/>
        <extend val="0"/>
        <outline val="0"/>
        <shadow val="0"/>
        <u val="none"/>
        <vertAlign val="baseline"/>
        <sz val="12"/>
        <color theme="0"/>
        <name val="Courier New"/>
        <family val="3"/>
        <scheme val="none"/>
      </font>
      <fill>
        <patternFill patternType="solid">
          <fgColor theme="1"/>
          <bgColor theme="1"/>
        </patternFill>
      </fill>
    </dxf>
    <dxf>
      <font>
        <color rgb="FFFF0000"/>
      </font>
      <fill>
        <patternFill>
          <bgColor rgb="FFFF0000"/>
        </patternFill>
      </fill>
    </dxf>
    <dxf>
      <font>
        <color theme="9"/>
      </font>
      <fill>
        <patternFill patternType="solid">
          <bgColor rgb="FF00B050"/>
        </patternFill>
      </fill>
    </dxf>
    <dxf>
      <font>
        <color rgb="FFFF0000"/>
      </font>
      <fill>
        <patternFill>
          <bgColor rgb="FFFF0000"/>
        </patternFill>
      </fill>
    </dxf>
    <dxf>
      <font>
        <color theme="9"/>
      </font>
      <fill>
        <patternFill patternType="solid">
          <bgColor rgb="FF00B05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s>
  <tableStyles count="0" defaultTableStyle="TableStyleMedium2" defaultPivotStyle="PivotStyleLight16"/>
  <colors>
    <mruColors>
      <color rgb="FFFFA7A7"/>
      <color rgb="FFB4C6E7"/>
      <color rgb="FF9999FF"/>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Monthly Revenues and Expenses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9642558674871953E-2"/>
          <c:y val="2.2633744855967079E-2"/>
          <c:w val="0.93921418658492517"/>
          <c:h val="0.92963319399889832"/>
        </c:manualLayout>
      </c:layout>
      <c:barChart>
        <c:barDir val="col"/>
        <c:grouping val="clustered"/>
        <c:varyColors val="0"/>
        <c:ser>
          <c:idx val="0"/>
          <c:order val="0"/>
          <c:tx>
            <c:v>Revenues</c:v>
          </c:tx>
          <c:spPr>
            <a:solidFill>
              <a:schemeClr val="accent6"/>
            </a:solidFill>
            <a:ln>
              <a:solidFill>
                <a:schemeClr val="tx1"/>
              </a:solidFill>
            </a:ln>
            <a:effectLst/>
          </c:spPr>
          <c:invertIfNegative val="0"/>
          <c:cat>
            <c:strRef>
              <c:f>'FY2020 Monthly Overview'!$C$4:$N$4</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'FY2020 Monthly Overview'!$C$47:$N$47</c:f>
              <c:numCache>
                <c:formatCode>_("$"* #,##0.00_);_("$"* \(#,##0.00\);_("$"* "-"??_);_(@_)</c:formatCode>
                <c:ptCount val="12"/>
                <c:pt idx="0">
                  <c:v>1077.0700000000002</c:v>
                </c:pt>
                <c:pt idx="1">
                  <c:v>20633.560000000001</c:v>
                </c:pt>
                <c:pt idx="2">
                  <c:v>46317.75</c:v>
                </c:pt>
                <c:pt idx="3">
                  <c:v>48127.839999999997</c:v>
                </c:pt>
                <c:pt idx="4">
                  <c:v>407.76</c:v>
                </c:pt>
                <c:pt idx="5">
                  <c:v>10888.55</c:v>
                </c:pt>
                <c:pt idx="6">
                  <c:v>390.65</c:v>
                </c:pt>
                <c:pt idx="7">
                  <c:v>80362.510000000009</c:v>
                </c:pt>
                <c:pt idx="8">
                  <c:v>5629.68</c:v>
                </c:pt>
                <c:pt idx="9">
                  <c:v>0</c:v>
                </c:pt>
                <c:pt idx="10">
                  <c:v>0</c:v>
                </c:pt>
                <c:pt idx="11">
                  <c:v>0</c:v>
                </c:pt>
              </c:numCache>
            </c:numRef>
          </c:val>
          <c:extLst>
            <c:ext xmlns:c16="http://schemas.microsoft.com/office/drawing/2014/chart" uri="{C3380CC4-5D6E-409C-BE32-E72D297353CC}">
              <c16:uniqueId val="{0000000C-6642-420E-B733-7A482BC0C48F}"/>
            </c:ext>
          </c:extLst>
        </c:ser>
        <c:ser>
          <c:idx val="1"/>
          <c:order val="1"/>
          <c:tx>
            <c:v>Expenses</c:v>
          </c:tx>
          <c:spPr>
            <a:solidFill>
              <a:srgbClr val="C00000"/>
            </a:solidFill>
            <a:ln>
              <a:solidFill>
                <a:schemeClr val="tx1"/>
              </a:solidFill>
            </a:ln>
            <a:effectLst/>
          </c:spPr>
          <c:invertIfNegative val="0"/>
          <c:cat>
            <c:strRef>
              <c:f>'FY2020 Monthly Overview'!$C$4:$N$4</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'FY2020 Monthly Overview'!$C$49:$N$49</c:f>
              <c:numCache>
                <c:formatCode>_("$"* #,##0.00_);_("$"* \(#,##0.00\);_("$"* "-"??_);_(@_)</c:formatCode>
                <c:ptCount val="12"/>
                <c:pt idx="0">
                  <c:v>6491.6600000000017</c:v>
                </c:pt>
                <c:pt idx="1">
                  <c:v>8194.0500000000011</c:v>
                </c:pt>
                <c:pt idx="2">
                  <c:v>19606.230000000003</c:v>
                </c:pt>
                <c:pt idx="3">
                  <c:v>17055.080000000002</c:v>
                </c:pt>
                <c:pt idx="4">
                  <c:v>21291.82</c:v>
                </c:pt>
                <c:pt idx="5">
                  <c:v>12173.99</c:v>
                </c:pt>
                <c:pt idx="6">
                  <c:v>13086.32</c:v>
                </c:pt>
                <c:pt idx="7">
                  <c:v>18378.7</c:v>
                </c:pt>
                <c:pt idx="8">
                  <c:v>159748.78</c:v>
                </c:pt>
                <c:pt idx="9">
                  <c:v>-64163</c:v>
                </c:pt>
                <c:pt idx="10">
                  <c:v>0</c:v>
                </c:pt>
                <c:pt idx="11">
                  <c:v>0</c:v>
                </c:pt>
              </c:numCache>
            </c:numRef>
          </c:val>
          <c:extLst>
            <c:ext xmlns:c16="http://schemas.microsoft.com/office/drawing/2014/chart" uri="{C3380CC4-5D6E-409C-BE32-E72D297353CC}">
              <c16:uniqueId val="{0000000D-6642-420E-B733-7A482BC0C48F}"/>
            </c:ext>
          </c:extLst>
        </c:ser>
        <c:dLbls>
          <c:showLegendKey val="0"/>
          <c:showVal val="0"/>
          <c:showCatName val="0"/>
          <c:showSerName val="0"/>
          <c:showPercent val="0"/>
          <c:showBubbleSize val="0"/>
        </c:dLbls>
        <c:gapWidth val="150"/>
        <c:axId val="258934720"/>
        <c:axId val="172668128"/>
      </c:barChart>
      <c:lineChart>
        <c:grouping val="standard"/>
        <c:varyColors val="0"/>
        <c:ser>
          <c:idx val="2"/>
          <c:order val="2"/>
          <c:tx>
            <c:v>Cumulative Revenues</c:v>
          </c:tx>
          <c:spPr>
            <a:ln w="38100" cap="rnd" cmpd="sng">
              <a:solidFill>
                <a:srgbClr val="00B050"/>
              </a:solidFill>
              <a:prstDash val="sysDot"/>
              <a:round/>
            </a:ln>
            <a:effectLst/>
          </c:spPr>
          <c:marker>
            <c:symbol val="none"/>
          </c:marker>
          <c:val>
            <c:numRef>
              <c:f>'FY2020 Monthly Overview'!$C$48:$N$48</c:f>
              <c:numCache>
                <c:formatCode>_("$"* #,##0.00_);_("$"* \(#,##0.00\);_("$"* "-"??_);_(@_)</c:formatCode>
                <c:ptCount val="12"/>
                <c:pt idx="0">
                  <c:v>1077.0700000000002</c:v>
                </c:pt>
                <c:pt idx="1">
                  <c:v>21710.63</c:v>
                </c:pt>
                <c:pt idx="2">
                  <c:v>68028.38</c:v>
                </c:pt>
                <c:pt idx="3">
                  <c:v>116156.22</c:v>
                </c:pt>
                <c:pt idx="4">
                  <c:v>116563.98</c:v>
                </c:pt>
                <c:pt idx="5">
                  <c:v>127452.53</c:v>
                </c:pt>
                <c:pt idx="6">
                  <c:v>127843.18</c:v>
                </c:pt>
                <c:pt idx="7">
                  <c:v>208205.69</c:v>
                </c:pt>
                <c:pt idx="8">
                  <c:v>213835.37</c:v>
                </c:pt>
                <c:pt idx="9">
                  <c:v>213835.37</c:v>
                </c:pt>
                <c:pt idx="10">
                  <c:v>213835.37</c:v>
                </c:pt>
                <c:pt idx="11">
                  <c:v>213835.37</c:v>
                </c:pt>
              </c:numCache>
            </c:numRef>
          </c:val>
          <c:smooth val="0"/>
          <c:extLst>
            <c:ext xmlns:c16="http://schemas.microsoft.com/office/drawing/2014/chart" uri="{C3380CC4-5D6E-409C-BE32-E72D297353CC}">
              <c16:uniqueId val="{0000000E-6642-420E-B733-7A482BC0C48F}"/>
            </c:ext>
          </c:extLst>
        </c:ser>
        <c:ser>
          <c:idx val="3"/>
          <c:order val="3"/>
          <c:tx>
            <c:v>Cumulative Expenses</c:v>
          </c:tx>
          <c:spPr>
            <a:ln w="38100" cap="rnd">
              <a:solidFill>
                <a:srgbClr val="FF0000"/>
              </a:solidFill>
              <a:prstDash val="sysDot"/>
              <a:round/>
            </a:ln>
            <a:effectLst/>
          </c:spPr>
          <c:marker>
            <c:symbol val="none"/>
          </c:marker>
          <c:val>
            <c:numRef>
              <c:f>'FY2020 Monthly Overview'!$C$50:$N$50</c:f>
              <c:numCache>
                <c:formatCode>_("$"* #,##0.00_);_("$"* \(#,##0.00\);_("$"* "-"??_);_(@_)</c:formatCode>
                <c:ptCount val="12"/>
                <c:pt idx="0">
                  <c:v>6491.6600000000017</c:v>
                </c:pt>
                <c:pt idx="1">
                  <c:v>14685.710000000003</c:v>
                </c:pt>
                <c:pt idx="2">
                  <c:v>34291.94</c:v>
                </c:pt>
                <c:pt idx="3">
                  <c:v>51347.020000000004</c:v>
                </c:pt>
                <c:pt idx="4">
                  <c:v>72638.84</c:v>
                </c:pt>
                <c:pt idx="5">
                  <c:v>84812.83</c:v>
                </c:pt>
                <c:pt idx="6">
                  <c:v>97899.15</c:v>
                </c:pt>
                <c:pt idx="7">
                  <c:v>116277.84999999999</c:v>
                </c:pt>
                <c:pt idx="8">
                  <c:v>276026.63</c:v>
                </c:pt>
                <c:pt idx="9">
                  <c:v>211863.63</c:v>
                </c:pt>
                <c:pt idx="10">
                  <c:v>211863.63</c:v>
                </c:pt>
                <c:pt idx="11">
                  <c:v>211863.63</c:v>
                </c:pt>
              </c:numCache>
            </c:numRef>
          </c:val>
          <c:smooth val="0"/>
          <c:extLst>
            <c:ext xmlns:c16="http://schemas.microsoft.com/office/drawing/2014/chart" uri="{C3380CC4-5D6E-409C-BE32-E72D297353CC}">
              <c16:uniqueId val="{0000000F-6642-420E-B733-7A482BC0C48F}"/>
            </c:ext>
          </c:extLst>
        </c:ser>
        <c:dLbls>
          <c:showLegendKey val="0"/>
          <c:showVal val="0"/>
          <c:showCatName val="0"/>
          <c:showSerName val="0"/>
          <c:showPercent val="0"/>
          <c:showBubbleSize val="0"/>
        </c:dLbls>
        <c:marker val="1"/>
        <c:smooth val="0"/>
        <c:axId val="258934720"/>
        <c:axId val="172668128"/>
      </c:lineChart>
      <c:catAx>
        <c:axId val="25893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668128"/>
        <c:crosses val="autoZero"/>
        <c:auto val="1"/>
        <c:lblAlgn val="ctr"/>
        <c:lblOffset val="100"/>
        <c:noMultiLvlLbl val="0"/>
      </c:catAx>
      <c:valAx>
        <c:axId val="17266812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9347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 Revenues</a:t>
            </a:r>
            <a:r>
              <a:rPr lang="en-US" baseline="0"/>
              <a:t> and </a:t>
            </a:r>
            <a:r>
              <a:rPr lang="en-US"/>
              <a:t>Asset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844046521211875E-2"/>
          <c:y val="4.4790701975261221E-2"/>
          <c:w val="0.92975055338892132"/>
          <c:h val="0.9320987654320988"/>
        </c:manualLayout>
      </c:layout>
      <c:barChart>
        <c:barDir val="col"/>
        <c:grouping val="clustered"/>
        <c:varyColors val="0"/>
        <c:ser>
          <c:idx val="0"/>
          <c:order val="0"/>
          <c:tx>
            <c:v>Net Revenues</c:v>
          </c:tx>
          <c:spPr>
            <a:solidFill>
              <a:srgbClr val="70AD47"/>
            </a:solidFill>
            <a:ln>
              <a:solidFill>
                <a:schemeClr val="tx1"/>
              </a:solid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'FY2020 Monthly Overview'!$C$4:$N$4</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'FY2020 Monthly Overview'!$C$51:$N$51</c:f>
              <c:numCache>
                <c:formatCode>_("$"* #,##0.00_);_("$"* \(#,##0.00\);_("$"* "-"??_);_(@_)</c:formatCode>
                <c:ptCount val="12"/>
                <c:pt idx="0">
                  <c:v>-5414.590000000002</c:v>
                </c:pt>
                <c:pt idx="1">
                  <c:v>12439.51</c:v>
                </c:pt>
                <c:pt idx="2">
                  <c:v>26711.519999999997</c:v>
                </c:pt>
                <c:pt idx="3">
                  <c:v>31072.759999999995</c:v>
                </c:pt>
                <c:pt idx="4">
                  <c:v>-20884.060000000001</c:v>
                </c:pt>
                <c:pt idx="5">
                  <c:v>-1285.4400000000005</c:v>
                </c:pt>
                <c:pt idx="6">
                  <c:v>-12695.67</c:v>
                </c:pt>
                <c:pt idx="7">
                  <c:v>61983.810000000012</c:v>
                </c:pt>
                <c:pt idx="8">
                  <c:v>-154119.1</c:v>
                </c:pt>
                <c:pt idx="9">
                  <c:v>64163</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C00000"/>
                  </a:solidFill>
                  <a:ln>
                    <a:solidFill>
                      <a:schemeClr val="tx1"/>
                    </a:solidFill>
                  </a:ln>
                  <a:effectLst/>
                </c14:spPr>
              </c14:invertSolidFillFmt>
            </c:ext>
            <c:ext xmlns:c16="http://schemas.microsoft.com/office/drawing/2014/chart" uri="{C3380CC4-5D6E-409C-BE32-E72D297353CC}">
              <c16:uniqueId val="{00000002-F358-4C62-BBEA-207AA65D044B}"/>
            </c:ext>
          </c:extLst>
        </c:ser>
        <c:dLbls>
          <c:showLegendKey val="0"/>
          <c:showVal val="0"/>
          <c:showCatName val="0"/>
          <c:showSerName val="0"/>
          <c:showPercent val="0"/>
          <c:showBubbleSize val="0"/>
        </c:dLbls>
        <c:gapWidth val="150"/>
        <c:axId val="510802640"/>
        <c:axId val="253345104"/>
      </c:barChart>
      <c:lineChart>
        <c:grouping val="standard"/>
        <c:varyColors val="0"/>
        <c:ser>
          <c:idx val="1"/>
          <c:order val="1"/>
          <c:tx>
            <c:v>Cumulative Assets</c:v>
          </c:tx>
          <c:spPr>
            <a:ln w="28575" cap="rnd">
              <a:solidFill>
                <a:schemeClr val="tx1"/>
              </a:solidFill>
              <a:round/>
            </a:ln>
            <a:effectLst/>
          </c:spPr>
          <c:marker>
            <c:symbol val="none"/>
          </c:marker>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2">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'FY2020 Monthly Overview'!$C$4:$N$4</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'FY2020 Monthly Overview'!$C$53:$N$53</c:f>
              <c:numCache>
                <c:formatCode>_("$"* #,##0.00_);_("$"* \(#,##0.00\);_("$"* "-"??_);_(@_)</c:formatCode>
                <c:ptCount val="12"/>
                <c:pt idx="0">
                  <c:v>204210.71</c:v>
                </c:pt>
                <c:pt idx="1">
                  <c:v>216650.21999999997</c:v>
                </c:pt>
                <c:pt idx="2">
                  <c:v>243361.74</c:v>
                </c:pt>
                <c:pt idx="3">
                  <c:v>274434.5</c:v>
                </c:pt>
                <c:pt idx="4">
                  <c:v>254002.45999999996</c:v>
                </c:pt>
                <c:pt idx="5">
                  <c:v>252717.01999999996</c:v>
                </c:pt>
                <c:pt idx="6">
                  <c:v>240021.34999999998</c:v>
                </c:pt>
                <c:pt idx="7">
                  <c:v>302005.15999999997</c:v>
                </c:pt>
                <c:pt idx="8">
                  <c:v>147886.06</c:v>
                </c:pt>
                <c:pt idx="9">
                  <c:v>212049.06</c:v>
                </c:pt>
                <c:pt idx="10">
                  <c:v>212049.06</c:v>
                </c:pt>
                <c:pt idx="11">
                  <c:v>212049.06</c:v>
                </c:pt>
              </c:numCache>
            </c:numRef>
          </c:val>
          <c:smooth val="0"/>
          <c:extLst>
            <c:ext xmlns:c16="http://schemas.microsoft.com/office/drawing/2014/chart" uri="{C3380CC4-5D6E-409C-BE32-E72D297353CC}">
              <c16:uniqueId val="{00000003-F358-4C62-BBEA-207AA65D044B}"/>
            </c:ext>
          </c:extLst>
        </c:ser>
        <c:dLbls>
          <c:showLegendKey val="0"/>
          <c:showVal val="0"/>
          <c:showCatName val="0"/>
          <c:showSerName val="0"/>
          <c:showPercent val="0"/>
          <c:showBubbleSize val="0"/>
        </c:dLbls>
        <c:marker val="1"/>
        <c:smooth val="0"/>
        <c:axId val="510802640"/>
        <c:axId val="253345104"/>
      </c:lineChart>
      <c:catAx>
        <c:axId val="51080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345104"/>
        <c:crosses val="autoZero"/>
        <c:auto val="1"/>
        <c:lblAlgn val="ctr"/>
        <c:lblOffset val="100"/>
        <c:noMultiLvlLbl val="0"/>
      </c:catAx>
      <c:valAx>
        <c:axId val="2533451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08026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185738</xdr:colOff>
      <xdr:row>32</xdr:row>
      <xdr:rowOff>76200</xdr:rowOff>
    </xdr:to>
    <xdr:graphicFrame macro="">
      <xdr:nvGraphicFramePr>
        <xdr:cNvPr id="4" name="Chart 3">
          <a:extLst>
            <a:ext uri="{FF2B5EF4-FFF2-40B4-BE49-F238E27FC236}">
              <a16:creationId xmlns:a16="http://schemas.microsoft.com/office/drawing/2014/main" id="{4E3E42E0-7E73-4EE9-A2AC-80EBE068F0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24</xdr:col>
      <xdr:colOff>171450</xdr:colOff>
      <xdr:row>70</xdr:row>
      <xdr:rowOff>171450</xdr:rowOff>
    </xdr:to>
    <xdr:graphicFrame macro="">
      <xdr:nvGraphicFramePr>
        <xdr:cNvPr id="5" name="Chart 4">
          <a:extLst>
            <a:ext uri="{FF2B5EF4-FFF2-40B4-BE49-F238E27FC236}">
              <a16:creationId xmlns:a16="http://schemas.microsoft.com/office/drawing/2014/main" id="{1BC18DE0-BB0F-4249-A747-43B811B6F7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39FDD38F-4399-4BB6-BCC1-0306228C71DF}" name="TraFY2020Apr" displayName="TraFY2020Apr" ref="A1:F5" totalsRowShown="0" headerRowDxfId="527" dataDxfId="525" headerRowBorderDxfId="526" tableBorderDxfId="524">
  <autoFilter ref="A1:F5" xr:uid="{8A521AB9-7B03-4BB4-AFD5-7EB6AAEBC37B}"/>
  <tableColumns count="6">
    <tableColumn id="3" xr3:uid="{44537D4E-1BEE-4BF2-9E7C-FC81D3485791}" name=" Account" dataDxfId="523"/>
    <tableColumn id="4" xr3:uid="{EDD8B51B-C791-4FF4-B488-9B7A34DCC1EA}" name=" Acct Desc" dataDxfId="522"/>
    <tableColumn id="5" xr3:uid="{CA00F71B-7F83-4C78-AAD1-971C9FF14A68}" name=" Description" dataDxfId="521"/>
    <tableColumn id="7" xr3:uid="{E109284F-750B-4CAE-A708-1CF2026B4857}" name=" Trans ID" dataDxfId="520"/>
    <tableColumn id="8" xr3:uid="{17017FD9-6A02-4B05-89FA-2E43A07BC72E}" name=" Amount" dataDxfId="519"/>
    <tableColumn id="9" xr3:uid="{58932389-5197-4369-B987-39A87CBA6A85}" name=" Acct Dt" dataDxfId="518"/>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6ED207-BA7D-4D07-A958-AC09EC91E93D}" name="TraFY2020Jul" displayName="TraFY2020Jul" ref="A1:F19" totalsRowShown="0" dataDxfId="367">
  <autoFilter ref="A1:F19" xr:uid="{B0C01DEE-A3E6-4D34-826D-04977A4CA836}"/>
  <sortState xmlns:xlrd2="http://schemas.microsoft.com/office/spreadsheetml/2017/richdata2" ref="A2:F19">
    <sortCondition ref="F1:F19"/>
  </sortState>
  <tableColumns count="6">
    <tableColumn id="3" xr3:uid="{C9E27E2B-E574-428A-80B4-CF6E1A613B84}" name=" Account" dataDxfId="366"/>
    <tableColumn id="4" xr3:uid="{BA1D8FEA-1156-4300-A9C5-4CCA6B246194}" name=" Acct Desc" dataDxfId="365"/>
    <tableColumn id="5" xr3:uid="{D6E7AE5F-AF12-43AA-94BD-1CAF824323A0}" name=" Description" dataDxfId="364"/>
    <tableColumn id="7" xr3:uid="{35A0A131-3123-496A-A72A-11848CEB2754}" name=" Trans ID" dataDxfId="363"/>
    <tableColumn id="8" xr3:uid="{B2B9D35E-6CEB-437A-980E-6F8CECA2DA4B}" name=" Amount" dataDxfId="362"/>
    <tableColumn id="9" xr3:uid="{749CF394-0C09-4A5A-B879-BDB4C2F03C9F}" name=" Acct Dt" dataDxfId="361"/>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D1B7953D-3457-490D-943E-0C24360E0F5A}" name="TraFY2019June" displayName="TraFY2019June" ref="A1:F87" totalsRowShown="0" headerRowDxfId="360" dataDxfId="358" headerRowBorderDxfId="359" tableBorderDxfId="357">
  <autoFilter ref="A1:F87" xr:uid="{2FD3B31B-EF12-42F8-B394-59372381F499}"/>
  <tableColumns count="6">
    <tableColumn id="1" xr3:uid="{C46A60ED-0CC0-462D-A51D-C70D957201F4}" name=" Account" dataDxfId="356"/>
    <tableColumn id="2" xr3:uid="{5DC44ECA-B526-465D-B10E-1C38E839CC4D}" name=" Acct Desc" dataDxfId="355"/>
    <tableColumn id="3" xr3:uid="{AFF5E620-A73F-4CB7-AEA5-B9216C089B21}" name=" Description" dataDxfId="354"/>
    <tableColumn id="4" xr3:uid="{C9210A74-7F0D-4731-AA85-3C42F8CEF62A}" name=" Trans ID" dataDxfId="353"/>
    <tableColumn id="5" xr3:uid="{D9829287-50CE-4536-8A62-A72CAAF8A17A}" name=" Amount" dataDxfId="352"/>
    <tableColumn id="6" xr3:uid="{6D397863-F8EA-44F5-B1B8-90ABE1E54BA0}" name=" Acct Dt" dataDxfId="351"/>
  </tableColumns>
  <tableStyleInfo name="TableStyleMedium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9F6D789-40DA-4C2B-975A-A4D6B6853602}" name="TraFY2019May" displayName="TraFY2019May" ref="A1:F41" totalsRowShown="0" headerRowDxfId="350" dataDxfId="348" headerRowBorderDxfId="349" tableBorderDxfId="347">
  <autoFilter ref="A1:F41" xr:uid="{9AE48E51-85CF-40E0-8556-254077D32353}"/>
  <tableColumns count="6">
    <tableColumn id="1" xr3:uid="{9521D7A9-4CA6-4513-B223-C1830CC7BEB4}" name=" Account" dataDxfId="346"/>
    <tableColumn id="2" xr3:uid="{1F0C5965-86B5-4116-89CD-F7A6D0E80AE7}" name=" Acct Desc" dataDxfId="345"/>
    <tableColumn id="3" xr3:uid="{40FAE1BE-6687-42D0-80DE-4724749906CF}" name=" Description" dataDxfId="344"/>
    <tableColumn id="4" xr3:uid="{66BEF571-2DC1-4AAB-A15B-7E1871E52229}" name=" Trans ID" dataDxfId="343"/>
    <tableColumn id="5" xr3:uid="{3B3DC72D-63D8-49BC-951E-20F560B4F449}" name=" Amount" dataDxfId="342"/>
    <tableColumn id="6" xr3:uid="{F693CF1C-AD70-415D-9F10-71E2CDD1E2F8}" name=" Acct Dt" dataDxfId="341"/>
  </tableColumns>
  <tableStyleInfo name="TableStyleMedium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A25141DF-B945-4FC2-A00B-EC0860BE01C4}" name="TraFY2019Apr" displayName="TraFY2019Apr" ref="A1:F85" totalsRowShown="0" headerRowDxfId="340" dataDxfId="338" headerRowBorderDxfId="339" tableBorderDxfId="337">
  <autoFilter ref="A1:F85" xr:uid="{FB095E61-1A9D-4775-B3F8-23E5720CD100}"/>
  <tableColumns count="6">
    <tableColumn id="1" xr3:uid="{360D1A50-8E04-4368-AC77-8D6CBED4DF44}" name=" Account" dataDxfId="336"/>
    <tableColumn id="2" xr3:uid="{B35FDA11-136A-48BE-B9D8-10C1109BD694}" name=" Acct Desc" dataDxfId="335"/>
    <tableColumn id="3" xr3:uid="{B1562761-6A25-49AC-94D9-0764F92F4429}" name=" Description" dataDxfId="334"/>
    <tableColumn id="4" xr3:uid="{B194A2ED-1304-4130-AD7D-B156B92E106A}" name=" Trans ID" dataDxfId="333"/>
    <tableColumn id="5" xr3:uid="{E9EA2555-BE37-4382-87B5-2C710DFA9256}" name=" Amount" dataDxfId="332"/>
    <tableColumn id="6" xr3:uid="{B30197DF-F970-45EC-9FE4-461AB94AFCF1}" name=" Acct Dt" dataDxfId="331"/>
  </tableColumns>
  <tableStyleInfo name="TableStyleMedium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91035AB-EEC1-49DD-95FE-7BDB73E8055D}" name="TraFY2019Mar" displayName="TraFY2019Mar" ref="A1:F319" totalsRowShown="0" headerRowDxfId="330" dataDxfId="328" headerRowBorderDxfId="329" tableBorderDxfId="327">
  <autoFilter ref="A1:F319" xr:uid="{A68CCB01-5CB9-483A-B25C-5356F1C241C9}"/>
  <tableColumns count="6">
    <tableColumn id="1" xr3:uid="{2130C36F-AEA9-47A8-A2E8-D9549E90F496}" name=" Account" dataDxfId="326"/>
    <tableColumn id="2" xr3:uid="{18A8E3C1-3E1F-4C1F-B503-2BC7ACDE8716}" name=" Acct Desc" dataDxfId="325"/>
    <tableColumn id="3" xr3:uid="{3094FC53-6559-45E8-A4F9-4E1138AA2791}" name=" Description" dataDxfId="324"/>
    <tableColumn id="4" xr3:uid="{F0D55497-330E-472C-B578-B58986D09054}" name=" Trans ID" dataDxfId="323"/>
    <tableColumn id="5" xr3:uid="{503C7BB5-BA56-4678-8461-9B38233F2006}" name=" Amount" dataDxfId="322"/>
    <tableColumn id="6" xr3:uid="{6A8BA497-E9D0-4149-B7F2-7AA67DA3F9D6}" name=" Acct Dt" dataDxfId="321"/>
  </tableColumns>
  <tableStyleInfo name="TableStyleMedium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D35EDAA8-893F-4817-B145-DE72F7719D06}" name="TraFY2019Feb" displayName="TraFY2019Feb" ref="A1:F84" totalsRowShown="0" headerRowDxfId="320" dataDxfId="318" headerRowBorderDxfId="319" tableBorderDxfId="317">
  <autoFilter ref="A1:F84" xr:uid="{D8D4466F-4776-443D-87B5-31CEB09ECB3B}"/>
  <tableColumns count="6">
    <tableColumn id="1" xr3:uid="{185B4E52-1617-475E-809C-E02BB59DFCFF}" name=" Account" dataDxfId="316"/>
    <tableColumn id="2" xr3:uid="{5970B592-F6CF-4577-89B6-5E4BBB9165E1}" name=" Acct Desc" dataDxfId="315"/>
    <tableColumn id="3" xr3:uid="{89EEE655-89C5-47BC-BD82-820844E05A86}" name=" Description" dataDxfId="314"/>
    <tableColumn id="4" xr3:uid="{25F67C3D-D577-4531-A224-E3B829947D07}" name=" Trans ID" dataDxfId="313"/>
    <tableColumn id="5" xr3:uid="{487A06E4-DFCF-400A-82C4-0482A01B692C}" name=" Amount" dataDxfId="312"/>
    <tableColumn id="6" xr3:uid="{76558370-50E1-4ED6-A0FC-78A95107BF6B}" name=" Acct Dt" dataDxfId="311"/>
  </tableColumns>
  <tableStyleInfo name="TableStyleMedium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4640336E-3507-4AA4-BF27-7CEC15DE0BB2}" name="TraFY2019Jan" displayName="TraFY2019Jan" ref="A1:F207" totalsRowShown="0" headerRowDxfId="310" dataDxfId="308" headerRowBorderDxfId="309" tableBorderDxfId="307">
  <autoFilter ref="A1:F207" xr:uid="{953B8FEE-BEFD-48D2-A6B4-B08F3FC5A9CD}"/>
  <tableColumns count="6">
    <tableColumn id="1" xr3:uid="{7A5C1A5A-4AFD-4E57-BA1D-2C56F14597F6}" name=" Account" dataDxfId="306"/>
    <tableColumn id="2" xr3:uid="{F1517937-370C-4324-8C3E-3C5889DC4D48}" name=" Acct Desc" dataDxfId="305"/>
    <tableColumn id="3" xr3:uid="{4412E109-56CC-4B26-92AA-B816C5A1BBA7}" name=" Description" dataDxfId="304"/>
    <tableColumn id="4" xr3:uid="{502A2820-1F26-4B1C-B179-02D439996F89}" name=" Trans ID" dataDxfId="303"/>
    <tableColumn id="5" xr3:uid="{8B10CD94-5460-4A2F-B184-D046DD6C9228}" name=" Amount" dataDxfId="302"/>
    <tableColumn id="6" xr3:uid="{E24050B1-38ED-4F00-9D88-8B2666F7384A}" name=" Acct Dt" dataDxfId="301"/>
  </tableColumns>
  <tableStyleInfo name="TableStyleMedium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7C440D9-A4A4-4585-8D38-A74327B9B136}" name="TraFY2019Dec" displayName="TraFY2019Dec" ref="A1:F71" totalsRowShown="0" headerRowDxfId="300" dataDxfId="298" headerRowBorderDxfId="299" tableBorderDxfId="297">
  <autoFilter ref="A1:F71" xr:uid="{D19B592E-B157-42EA-94D7-3F2C3A76F233}"/>
  <tableColumns count="6">
    <tableColumn id="1" xr3:uid="{F3417DB6-23B0-4D62-9750-D3C51DD35895}" name=" Account" dataDxfId="296"/>
    <tableColumn id="2" xr3:uid="{C0F99CF1-181F-45D7-8EF6-75D256BAAFC0}" name=" Acct Desc" dataDxfId="295"/>
    <tableColumn id="3" xr3:uid="{0EEF5069-BEA1-4C3A-9011-EA9004769ED4}" name=" Description" dataDxfId="294"/>
    <tableColumn id="4" xr3:uid="{01A5D2A5-32F6-424D-AFA1-65D5771A97C5}" name=" Trans ID" dataDxfId="293"/>
    <tableColumn id="5" xr3:uid="{F7EFF585-21F5-4174-BF2E-9A4B57ECD382}" name=" Amount" dataDxfId="292"/>
    <tableColumn id="6" xr3:uid="{D9F225DA-27A5-40F9-81FE-F6397E7C41BF}" name=" Acct Dt" dataDxfId="291"/>
  </tableColumns>
  <tableStyleInfo name="TableStyleMedium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42F0DC46-0763-4F94-8A9F-22DC4E7B4F54}" name="TraFY2019Nov" displayName="TraFY2019Nov" ref="A1:F47" totalsRowShown="0" headerRowDxfId="290" dataDxfId="288" headerRowBorderDxfId="289" tableBorderDxfId="287">
  <autoFilter ref="A1:F47" xr:uid="{E5E821BD-F714-421C-9C0E-3ECF06009D57}"/>
  <tableColumns count="6">
    <tableColumn id="1" xr3:uid="{A7007B79-51FE-4915-BAAF-DFC74EBAFD70}" name=" Account" dataDxfId="286"/>
    <tableColumn id="2" xr3:uid="{5E5350C3-7AB0-4414-B219-0D0942F97950}" name=" Acct Desc" dataDxfId="285"/>
    <tableColumn id="3" xr3:uid="{0B096C24-246D-48DC-9506-EE6D4999D1BB}" name=" Description" dataDxfId="284"/>
    <tableColumn id="4" xr3:uid="{8D83310D-2196-4EB0-B05E-A9049DF87BD4}" name=" Trans ID" dataDxfId="283"/>
    <tableColumn id="5" xr3:uid="{0F0A0843-9593-4289-BE32-6822F2D3D694}" name=" Amount" dataDxfId="282"/>
    <tableColumn id="6" xr3:uid="{05C7954B-8B26-498C-8EB5-DDE616FA8FFD}" name=" Acct Dt" dataDxfId="281"/>
  </tableColumns>
  <tableStyleInfo name="TableStyleMedium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45B85CF-59E0-4019-9B04-7B47AF375558}" name="TraFY2019Oct" displayName="TraFY2019Oct" ref="A1:F59" totalsRowShown="0" headerRowDxfId="280" dataDxfId="278" headerRowBorderDxfId="279" tableBorderDxfId="277">
  <autoFilter ref="A1:F59" xr:uid="{9960BA70-56F4-46FF-B05D-188DD89B21CE}"/>
  <tableColumns count="6">
    <tableColumn id="1" xr3:uid="{6BEA30BF-BF3E-4B71-9F9C-287C5157E50E}" name=" Account" dataDxfId="276"/>
    <tableColumn id="2" xr3:uid="{B642BCFC-350D-482E-84F5-E77C6BF32BAD}" name=" Acct Desc" dataDxfId="275"/>
    <tableColumn id="3" xr3:uid="{E125EA33-7CCD-4DD2-87ED-9D1FA986BDF6}" name=" Description" dataDxfId="274"/>
    <tableColumn id="4" xr3:uid="{DE3CE794-B934-42CC-86BE-AE82D7987321}" name=" Trans ID" dataDxfId="273"/>
    <tableColumn id="5" xr3:uid="{49F37E2E-1FA7-44F9-BBAE-D7F01A8ED9CB}" name=" Amount" dataDxfId="272"/>
    <tableColumn id="6" xr3:uid="{CA676FD8-70D7-4117-B617-5FA5F7C242FE}" name=" Acct Dt" dataDxfId="271"/>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C69F6816-4B46-460E-AE23-A223D2B1BFC8}" name="TraFY2020Mar1" displayName="TraFY2020Mar1" ref="A1:F141" totalsRowShown="0" headerRowDxfId="507" dataDxfId="505" headerRowBorderDxfId="506" tableBorderDxfId="504">
  <autoFilter ref="A1:F141" xr:uid="{8A521AB9-7B03-4BB4-AFD5-7EB6AAEBC37B}"/>
  <tableColumns count="6">
    <tableColumn id="3" xr3:uid="{F9B4A3B0-9A70-4D93-BB26-23E494976128}" name=" Account" dataDxfId="503"/>
    <tableColumn id="4" xr3:uid="{C49302FA-9602-441C-8AE1-438748C8C66A}" name=" Acct Desc" dataDxfId="502"/>
    <tableColumn id="5" xr3:uid="{5076891F-7E1E-487C-A124-478094F09312}" name=" Description" dataDxfId="501"/>
    <tableColumn id="7" xr3:uid="{58A13CC6-1057-4B72-99D7-186D0F9A2AFD}" name=" Trans ID" dataDxfId="500"/>
    <tableColumn id="8" xr3:uid="{9FF4AFAC-8FB7-4423-AE5F-A41796DC31D6}" name=" Amount" dataDxfId="499"/>
    <tableColumn id="9" xr3:uid="{A9497A12-4A25-483C-A295-F5015E26F54C}" name=" Acct Dt" dataDxfId="498"/>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E2FF28A-71EA-460A-9D73-E5C7810890AB}" name="TraFY2019Sep" displayName="TraFY2019Sep" ref="A1:F33" totalsRowShown="0" headerRowDxfId="270" dataDxfId="268" headerRowBorderDxfId="269" tableBorderDxfId="267">
  <autoFilter ref="A1:F33" xr:uid="{A86BD33E-87BB-4CA3-B400-79203E7516E5}"/>
  <tableColumns count="6">
    <tableColumn id="1" xr3:uid="{2FAF96F5-95D6-4699-AA09-CBBC44E0BD12}" name=" Account" dataDxfId="266"/>
    <tableColumn id="2" xr3:uid="{5DAD30C4-D504-4E04-883A-F2E257D2C0F5}" name=" Acct Desc" dataDxfId="265"/>
    <tableColumn id="3" xr3:uid="{846085F5-C99F-4567-A839-38B4354134D6}" name=" Description" dataDxfId="264"/>
    <tableColumn id="4" xr3:uid="{7329CEE0-7DBF-48E6-B8DA-7FD7AF287071}" name=" Trans ID" dataDxfId="263"/>
    <tableColumn id="5" xr3:uid="{021C1F8E-4E00-41BD-9F6C-C1B5705C0584}" name=" Amount" dataDxfId="262"/>
    <tableColumn id="6" xr3:uid="{BC2937C5-98B5-4665-8023-A184B2EE6B52}" name=" Acct Dt" dataDxfId="261"/>
  </tableColumns>
  <tableStyleInfo name="TableStyleMedium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535E4E3-05F9-44EB-BECB-CDC3F8BE68E6}" name="TraFY2019Aug" displayName="TraFY2019Aug" ref="A1:F58" totalsRowShown="0" headerRowDxfId="260" dataDxfId="258" headerRowBorderDxfId="259" tableBorderDxfId="257">
  <autoFilter ref="A1:F58" xr:uid="{FDA0395C-BB58-4068-913F-F0D12B949FE1}"/>
  <tableColumns count="6">
    <tableColumn id="1" xr3:uid="{8D2C223F-9CBC-40D0-99A1-26A92EC597B0}" name="Account" dataDxfId="256"/>
    <tableColumn id="2" xr3:uid="{EC5CAC62-DFCB-4B2E-A4E8-BDD0DD2EE01D}" name=" Acct Desc" dataDxfId="255"/>
    <tableColumn id="3" xr3:uid="{D6543A5D-5E78-4CF2-B058-E99BB0692C69}" name=" Description" dataDxfId="254"/>
    <tableColumn id="4" xr3:uid="{66E9791E-31B6-429D-94B4-C6706AF53AE4}" name=" Trans ID" dataDxfId="253"/>
    <tableColumn id="5" xr3:uid="{9FD30EEC-C55A-4BE5-9F91-BE6055F28505}" name=" Amount" dataDxfId="252"/>
    <tableColumn id="6" xr3:uid="{5C845C17-BD3A-4D7D-A067-E46FF199051B}" name=" Acct Dt" dataDxfId="251"/>
  </tableColumns>
  <tableStyleInfo name="TableStyleMedium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DA528CD7-E552-4DA4-BA4D-5C084160886A}" name="TraFY2019Jul" displayName="TraFY2019Jul" ref="A1:F13" totalsRowShown="0" headerRowDxfId="246" dataDxfId="244" headerRowBorderDxfId="245" tableBorderDxfId="243">
  <autoFilter ref="A1:F13" xr:uid="{738EACEC-8A5B-446C-B959-C2B677E9E89B}"/>
  <tableColumns count="6">
    <tableColumn id="1" xr3:uid="{10070C0B-8F8E-4944-8014-5729176F8AFC}" name=" Account" dataDxfId="242"/>
    <tableColumn id="2" xr3:uid="{63FE4A29-4BD7-4D5B-A0B6-E558249AAFE0}" name=" Acct Desc" dataDxfId="241"/>
    <tableColumn id="3" xr3:uid="{6B721AF0-0490-4E87-977C-ED1F81ADAE2D}" name=" Description" dataDxfId="240"/>
    <tableColumn id="4" xr3:uid="{07B677C2-E936-4777-82EC-CC33CF3A6659}" name=" Trans ID" dataDxfId="239"/>
    <tableColumn id="5" xr3:uid="{2DBF29B8-76A5-4D30-B57E-24324B6CB5BB}" name=" Amount" dataDxfId="238"/>
    <tableColumn id="6" xr3:uid="{A0246459-8B85-483F-885C-E044EE84AB96}" name=" Acct Dt" dataDxfId="237"/>
  </tableColumns>
  <tableStyleInfo name="TableStyleMedium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5CB1FF7A-65FB-429F-ABC1-B372A6CC3782}" name="TraFY2018Jun" displayName="TraFY2018Jun" ref="A1:F59" totalsRowShown="0" headerRowDxfId="236" dataDxfId="234" headerRowBorderDxfId="235" tableBorderDxfId="233">
  <autoFilter ref="A1:F59" xr:uid="{EEDB592C-A9E2-4BAC-91A4-D05E45714339}"/>
  <tableColumns count="6">
    <tableColumn id="1" xr3:uid="{74DB4FB5-B450-4083-BDB7-71295058C574}" name=" Account" dataDxfId="232"/>
    <tableColumn id="2" xr3:uid="{F62FE409-0AA4-4332-87A1-95B3AD3FCE5E}" name=" Acct Desc" dataDxfId="231"/>
    <tableColumn id="3" xr3:uid="{432C4F02-AFBC-4FE0-9947-848558D6C950}" name=" Description" dataDxfId="230"/>
    <tableColumn id="4" xr3:uid="{3156BFCA-2F6D-458C-A691-B1AD4E2A3B11}" name=" Trans ID" dataDxfId="229"/>
    <tableColumn id="5" xr3:uid="{B60AC42C-DA53-411C-84DF-72C4BA88193F}" name=" Amount" dataDxfId="228"/>
    <tableColumn id="6" xr3:uid="{AD8BC499-0709-4CA3-9C84-303CDC0D7F9E}" name=" Acct Dt" dataDxfId="227"/>
  </tableColumns>
  <tableStyleInfo name="TableStyleMedium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8EB5763-28ED-4CA9-B71D-203B6923CE4D}" name="TraFY2018May" displayName="TraFY2018May" ref="A1:F43" totalsRowShown="0" headerRowDxfId="226" dataDxfId="224" headerRowBorderDxfId="225" tableBorderDxfId="223">
  <autoFilter ref="A1:F43" xr:uid="{576BCD9C-9A3B-4D5E-B563-EDBC3BA2F00D}"/>
  <tableColumns count="6">
    <tableColumn id="1" xr3:uid="{CFE402E2-4085-41D5-B6C6-03D78C7CF289}" name=" Account" dataDxfId="222"/>
    <tableColumn id="2" xr3:uid="{4350CE06-1F5A-4DAE-BBF3-A07D9A6926CE}" name=" Acct Desc" dataDxfId="221"/>
    <tableColumn id="3" xr3:uid="{3A2BEDCE-8462-41FA-9BB1-B3EB28C8C9F8}" name=" Description" dataDxfId="220"/>
    <tableColumn id="4" xr3:uid="{2EB43A7A-F0C7-4D5D-976A-10D7EB76759C}" name=" Trans ID" dataDxfId="219"/>
    <tableColumn id="5" xr3:uid="{7921065F-B273-483C-9699-DCA1EC25E202}" name=" Amount" dataDxfId="218"/>
    <tableColumn id="6" xr3:uid="{86C66AE8-1E51-4B74-92BC-0A57E70BB0F9}" name=" Acct Dt" dataDxfId="217"/>
  </tableColumns>
  <tableStyleInfo name="TableStyleMedium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3D56CF4C-6393-4CFD-9D5F-A3783E8C7770}" name="TraFY2018Apr" displayName="TraFY2018Apr" ref="A1:F68" totalsRowShown="0" headerRowDxfId="216" dataDxfId="214" headerRowBorderDxfId="215" tableBorderDxfId="213">
  <autoFilter ref="A1:F68" xr:uid="{9341E87F-A3B3-464B-ACE0-E4D4996D19ED}"/>
  <tableColumns count="6">
    <tableColumn id="1" xr3:uid="{983A852F-8B52-4D2C-B0B9-D5263B9847F1}" name=" Account" dataDxfId="212"/>
    <tableColumn id="2" xr3:uid="{88AA0FBB-72B8-4414-A5E5-04E0E17B6738}" name=" Acct Desc" dataDxfId="211"/>
    <tableColumn id="3" xr3:uid="{3C30B6F9-81D5-4B1D-9025-E7796E452DDC}" name=" Description" dataDxfId="210"/>
    <tableColumn id="4" xr3:uid="{8CA4F9F4-DB5F-4B7B-BB7F-475EBCBA3824}" name=" Trans ID" dataDxfId="209"/>
    <tableColumn id="5" xr3:uid="{3871B306-165D-43D8-93FB-B0E9F9D23976}" name=" Amount" dataDxfId="208"/>
    <tableColumn id="6" xr3:uid="{89829819-F2F4-49F9-9CCD-7D00CF827625}" name=" Acct Dt" dataDxfId="207"/>
  </tableColumns>
  <tableStyleInfo name="TableStyleMedium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ECD4275-BDC0-48EB-B589-2EF30590F4E5}" name="TraFY2018Mar" displayName="TraFY2018Mar" ref="A1:F109" totalsRowShown="0" headerRowDxfId="206" dataDxfId="204" headerRowBorderDxfId="205" tableBorderDxfId="203">
  <autoFilter ref="A1:F109" xr:uid="{11D9CE01-CD27-4EAC-BC64-01BA5CC01575}"/>
  <tableColumns count="6">
    <tableColumn id="1" xr3:uid="{2A22C2A1-A7F1-4A1A-88DC-26FA757CCBE9}" name=" Account" dataDxfId="202"/>
    <tableColumn id="2" xr3:uid="{2695B49A-CA8F-4B9B-9055-606C3BD1C5AF}" name=" Acct Desc" dataDxfId="201"/>
    <tableColumn id="3" xr3:uid="{0FA9765B-5A37-44A7-8A04-E43BFEA13F91}" name=" Description" dataDxfId="200"/>
    <tableColumn id="4" xr3:uid="{1B1AD214-9AA1-4552-9A17-467BE2AB37CE}" name=" Trans ID" dataDxfId="199"/>
    <tableColumn id="5" xr3:uid="{54F1F54F-466A-4BE9-978B-5184A85B014B}" name=" Amount" dataDxfId="198"/>
    <tableColumn id="6" xr3:uid="{48F2D9DF-9060-4CA3-AFD6-0EFB51FB10A9}" name=" Acct Dt" dataDxfId="197"/>
  </tableColumns>
  <tableStyleInfo name="TableStyleMedium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F0C02C1-0467-48B1-B9B5-57AD52A769CB}" name="TraFY2018Feb" displayName="TraFY2018Feb" ref="A1:F82" totalsRowShown="0" headerRowDxfId="196" dataDxfId="194" headerRowBorderDxfId="195" tableBorderDxfId="193">
  <autoFilter ref="A1:F82" xr:uid="{CF8E1C3D-3226-4D8D-866E-2B2138D3BC7C}"/>
  <tableColumns count="6">
    <tableColumn id="1" xr3:uid="{A5646FB4-4E3E-41C0-8CDB-F9FFF94E86A2}" name=" Account" dataDxfId="192"/>
    <tableColumn id="2" xr3:uid="{3C18E78E-4F55-4DE4-9C73-272FA5D85603}" name=" Acct Desc" dataDxfId="191"/>
    <tableColumn id="3" xr3:uid="{D2C35822-6389-458F-A569-E5581AD03A66}" name=" Description" dataDxfId="190"/>
    <tableColumn id="4" xr3:uid="{9CA91BF9-2F1A-42B9-BF53-C327D7DDAEE8}" name=" Trans ID" dataDxfId="189"/>
    <tableColumn id="5" xr3:uid="{B3CFD858-3B33-489B-820F-AE927F8FEF5C}" name=" Amount" dataDxfId="188"/>
    <tableColumn id="6" xr3:uid="{AD3CAEEF-A6AB-4D18-8503-E2ACA5EAFF74}" name=" Acct Dt" dataDxfId="187"/>
  </tableColumns>
  <tableStyleInfo name="TableStyleMedium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E4A828A-C29D-4D7E-91D7-6C941CFF5707}" name="TraFY2018Jan" displayName="TraFY2018Jan" ref="A1:F29" totalsRowShown="0" headerRowDxfId="186" dataDxfId="184" headerRowBorderDxfId="185" tableBorderDxfId="183">
  <autoFilter ref="A1:F29" xr:uid="{FBDA84FA-B38B-45FF-BA35-DF5F5A9A8E2E}"/>
  <tableColumns count="6">
    <tableColumn id="1" xr3:uid="{037C4615-DA9B-461A-A903-4E2218690448}" name=" Account" dataDxfId="182"/>
    <tableColumn id="2" xr3:uid="{E1890F58-BACE-4E1D-B379-BFE1477FCA1E}" name=" Acct Desc" dataDxfId="181"/>
    <tableColumn id="3" xr3:uid="{4DB51EF2-E0FF-4175-A214-68F2F0701255}" name=" Description" dataDxfId="180"/>
    <tableColumn id="4" xr3:uid="{729D4A86-C1E9-4FB0-897C-CB2CCE502DB5}" name=" Trans ID" dataDxfId="179"/>
    <tableColumn id="5" xr3:uid="{82B86B8A-1570-4BF1-B10D-0732A85F5827}" name=" Amount" dataDxfId="178"/>
    <tableColumn id="6" xr3:uid="{E554B596-19EC-445F-A1C4-71C86C4277AD}" name=" Acct Dt" dataDxfId="177"/>
  </tableColumns>
  <tableStyleInfo name="TableStyleMedium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DD7B8B0-57B3-44A2-8D7D-33C45C304430}" name="TraFY2018Dec" displayName="TraFY2018Dec" ref="A1:F70" totalsRowShown="0" headerRowDxfId="176" dataDxfId="174" headerRowBorderDxfId="175" tableBorderDxfId="173">
  <autoFilter ref="A1:F70" xr:uid="{B6D4AFB1-2B7C-4362-B072-6C830E61F09A}"/>
  <tableColumns count="6">
    <tableColumn id="1" xr3:uid="{04625E17-B682-4DDA-8DD9-78CC6270A4AA}" name=" Account" dataDxfId="172"/>
    <tableColumn id="2" xr3:uid="{21E4F33D-5554-4B40-B694-C380E8DF3445}" name=" Acct Desc" dataDxfId="171"/>
    <tableColumn id="3" xr3:uid="{5CAFE580-963A-4B17-8AE2-E536EFBB0581}" name=" Description" dataDxfId="170"/>
    <tableColumn id="4" xr3:uid="{EF9C0B9F-225F-4B3C-B2D9-5A7DC8A98DAE}" name=" Trans ID" dataDxfId="169"/>
    <tableColumn id="5" xr3:uid="{EA9F4ED7-97EE-4A85-9B4F-4AAB5A61754A}" name=" Amount" dataDxfId="168"/>
    <tableColumn id="6" xr3:uid="{63A6CCF8-F37C-4D2E-A9B2-3A187099DACE}" name=" Acct Dt" dataDxfId="167"/>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58612004-BC5B-4FAE-90FE-D4EDF4C61B38}" name="TraFY2020Feb" displayName="TraFY2020Feb" ref="A1:F68" totalsRowShown="0" headerRowDxfId="489" dataDxfId="487" headerRowBorderDxfId="488" tableBorderDxfId="486">
  <autoFilter ref="A1:F68" xr:uid="{8A521AB9-7B03-4BB4-AFD5-7EB6AAEBC37B}"/>
  <tableColumns count="6">
    <tableColumn id="3" xr3:uid="{3BF60887-E844-4B6A-B785-89E4F0896DBA}" name=" Account" dataDxfId="485"/>
    <tableColumn id="4" xr3:uid="{BFE6CA0E-E6CD-4818-82AB-2227CAECD4B2}" name=" Acct Desc" dataDxfId="484"/>
    <tableColumn id="5" xr3:uid="{D094D855-1119-4882-987A-401145B59410}" name=" Description" dataDxfId="483"/>
    <tableColumn id="7" xr3:uid="{A39EEFF2-3FE3-4CDD-8F6D-4B5457F2B40A}" name=" Trans ID" dataDxfId="482"/>
    <tableColumn id="8" xr3:uid="{ADC0C759-82D4-4CBD-A338-A9478AEDA6DB}" name=" Amount" dataDxfId="481"/>
    <tableColumn id="9" xr3:uid="{4F767A25-FACC-4B95-8E7E-AE6944F1FEBB}" name=" Acct Dt" dataDxfId="48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FD22F66-E852-4563-857E-9C51E28F3777}" name="TraFY2018Nov" displayName="TraFY2018Nov" ref="A1:F33" totalsRowShown="0" headerRowDxfId="166" dataDxfId="164" headerRowBorderDxfId="165" tableBorderDxfId="163">
  <autoFilter ref="A1:F33" xr:uid="{40D43464-A928-4919-87C5-38029C50B443}"/>
  <tableColumns count="6">
    <tableColumn id="1" xr3:uid="{DC55B5DF-78E0-4A3D-B6E4-232A2C30EF14}" name=" Account" dataDxfId="162"/>
    <tableColumn id="2" xr3:uid="{57A5906B-76D1-468E-AE5D-2646428CDAE6}" name=" Acct Desc" dataDxfId="161"/>
    <tableColumn id="3" xr3:uid="{A16C051C-043D-443A-AA0E-084A86CDD42C}" name=" Description" dataDxfId="160"/>
    <tableColumn id="4" xr3:uid="{E6D73964-50A4-45CC-9917-2318FD300F5B}" name=" Trans ID" dataDxfId="159"/>
    <tableColumn id="5" xr3:uid="{698D99A2-66E1-4B99-8ED1-90CB706BBC42}" name=" Amount" dataDxfId="158"/>
    <tableColumn id="6" xr3:uid="{C2B426C3-ECC1-497F-B7A0-7E163E89B7D4}" name=" Acct Dt" dataDxfId="157"/>
  </tableColumns>
  <tableStyleInfo name="TableStyleMedium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2E1CE9F-1559-430A-83F2-374B07796E9C}" name="TraFY2018Oct" displayName="TraFY2018Oct" ref="A1:F76" totalsRowShown="0" headerRowDxfId="156" dataDxfId="154" headerRowBorderDxfId="155" tableBorderDxfId="153">
  <autoFilter ref="A1:F76" xr:uid="{48BA454F-7F39-43C6-B26A-BD01C3B049F2}"/>
  <tableColumns count="6">
    <tableColumn id="1" xr3:uid="{21C3A45F-5508-48BC-A048-4621A46080BC}" name=" Account" dataDxfId="152"/>
    <tableColumn id="2" xr3:uid="{96956CB0-4DA7-47FD-ADF9-DFAC1254EAA5}" name=" Acct Desc" dataDxfId="151"/>
    <tableColumn id="3" xr3:uid="{5F54C2FD-EE21-44A7-93C3-30EBE8010ED5}" name=" Description" dataDxfId="150"/>
    <tableColumn id="4" xr3:uid="{6724E84D-35EC-497A-BE50-93842F27C49C}" name=" Trans ID" dataDxfId="149"/>
    <tableColumn id="5" xr3:uid="{C2BD266A-D380-469B-BABA-624BA2031DEE}" name=" Amount" dataDxfId="148"/>
    <tableColumn id="6" xr3:uid="{B7431B4D-C1EA-4525-89EE-9B8F6970C2EE}" name=" Acct Dt" dataDxfId="147"/>
  </tableColumns>
  <tableStyleInfo name="TableStyleMedium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2AD155A-0F8F-44F8-9E91-059F8FE88F8E}" name="TraFY2018Sep" displayName="TraFY2018Sep" ref="A1:F39" totalsRowShown="0" headerRowDxfId="146" dataDxfId="144" headerRowBorderDxfId="145" tableBorderDxfId="143">
  <autoFilter ref="A1:F39" xr:uid="{4DFC49B5-6AC1-488C-9576-ACE64270ECDE}"/>
  <tableColumns count="6">
    <tableColumn id="1" xr3:uid="{C9AB16B5-FDFC-42F4-8F46-A5A86932DDB6}" name=" Account" dataDxfId="142"/>
    <tableColumn id="2" xr3:uid="{95713F22-B157-45C7-8B73-5CAC8D43A569}" name=" Acct Desc" dataDxfId="141"/>
    <tableColumn id="3" xr3:uid="{CAB1D77B-97D4-41FE-B6C3-054B6F19C208}" name=" Description" dataDxfId="140"/>
    <tableColumn id="4" xr3:uid="{F982247A-7C37-4EE7-AB51-26AA5527ABBD}" name=" Trans ID" dataDxfId="139"/>
    <tableColumn id="5" xr3:uid="{03E9EED4-12E5-450B-AEC8-F5FE6577D057}" name=" Amount" dataDxfId="138"/>
    <tableColumn id="6" xr3:uid="{D1CD05FB-E019-44FD-813F-99872F6E0B1F}" name=" Acct Dt" dataDxfId="137"/>
  </tableColumns>
  <tableStyleInfo name="TableStyleMedium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E7585A1-F133-40BD-84B4-B6D1DCC585E2}" name="TraFY2018Aug" displayName="TraFY2018Aug" ref="A1:F51" totalsRowShown="0" headerRowDxfId="136" dataDxfId="134" headerRowBorderDxfId="135" tableBorderDxfId="133">
  <autoFilter ref="A1:F51" xr:uid="{50D04BE1-50DF-4D53-B389-B1C3460DBBD5}"/>
  <tableColumns count="6">
    <tableColumn id="1" xr3:uid="{3FCE84EA-9369-4B0C-81A8-37374FF7DE01}" name=" Account" dataDxfId="132"/>
    <tableColumn id="2" xr3:uid="{04620FE0-285D-4270-B338-5857F69F2FC1}" name=" Acct Desc" dataDxfId="131"/>
    <tableColumn id="3" xr3:uid="{2DA47EBC-677C-46FD-AECB-F267CF78F3DF}" name=" Description" dataDxfId="130"/>
    <tableColumn id="4" xr3:uid="{F568F578-6B26-4441-BD9E-2E42569D09E5}" name=" Trans ID" dataDxfId="129"/>
    <tableColumn id="5" xr3:uid="{A0B8A648-A2DF-4070-9C71-9BC505759161}" name=" Amount" dataDxfId="128"/>
    <tableColumn id="6" xr3:uid="{BD4BEFC2-80DF-4306-BC39-45C4C43C69D9}" name=" Acct Dt" dataDxfId="127"/>
  </tableColumns>
  <tableStyleInfo name="TableStyleMedium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A896D84-C0E6-48C9-90DC-3A4B075B9540}" name="TraFY2018Jul" displayName="TraFY2018Jul" ref="A1:F14" totalsRowShown="0" headerRowDxfId="126" dataDxfId="124" headerRowBorderDxfId="125" tableBorderDxfId="123">
  <autoFilter ref="A1:F14" xr:uid="{3B998D67-1334-414B-9252-75236DC150A2}"/>
  <tableColumns count="6">
    <tableColumn id="1" xr3:uid="{9604A2B7-F173-4506-8099-58E8FFB17774}" name=" Account" dataDxfId="122"/>
    <tableColumn id="2" xr3:uid="{5A774091-51AD-4778-AD9C-9A8101332387}" name=" Acct Desc" dataDxfId="121"/>
    <tableColumn id="3" xr3:uid="{9C3B0F71-2F7F-4F68-93FC-B15E1CCF6A1F}" name=" Description" dataDxfId="120"/>
    <tableColumn id="4" xr3:uid="{63AB42F4-3F57-4037-89B1-91547307253E}" name=" Trans ID" dataDxfId="119"/>
    <tableColumn id="5" xr3:uid="{418E2272-605C-46D9-96F3-9C95CF15D390}" name=" Amount" dataDxfId="118"/>
    <tableColumn id="6" xr3:uid="{74FD24EA-4897-48A6-9160-5B1963818DD2}" name=" Acct Dt" dataDxfId="117"/>
  </tableColumns>
  <tableStyleInfo name="TableStyleMedium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D7087C7-3672-407D-9FFE-736356673F2D}" name="TraFY2017Jun" displayName="TraFY2017Jun" ref="A1:F45" totalsRowShown="0" headerRowDxfId="116" dataDxfId="114" headerRowBorderDxfId="115" tableBorderDxfId="113">
  <autoFilter ref="A1:F45" xr:uid="{9781BFDA-1FA4-4257-9D58-659BA08F92BB}"/>
  <tableColumns count="6">
    <tableColumn id="1" xr3:uid="{B4DA2ED2-54DE-46ED-AFC9-C30F85AEFF19}" name=" Account" dataDxfId="112"/>
    <tableColumn id="2" xr3:uid="{5A735C7F-091A-4CA4-AD65-4004C7562BE6}" name=" Acct Desc" dataDxfId="111"/>
    <tableColumn id="3" xr3:uid="{D4B4FAC5-BDAF-4ADB-A609-F2D1A1CBD149}" name=" Description" dataDxfId="110"/>
    <tableColumn id="4" xr3:uid="{A4CA2AF7-9F94-46CA-BBEA-5883E5891CF1}" name=" Trans ID" dataDxfId="109"/>
    <tableColumn id="5" xr3:uid="{99986827-5E11-4DEC-9326-B43CF407AE71}" name=" Amount" dataDxfId="108"/>
    <tableColumn id="6" xr3:uid="{6400EBA2-722A-4EC5-B80F-D3799EBDBBF5}" name=" Acct Dt" dataDxfId="107"/>
  </tableColumns>
  <tableStyleInfo name="TableStyleMedium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10D96C-DA2F-41BB-906F-61F51E028934}" name="TraFY2017May" displayName="TraFY2017May" ref="A1:F80" totalsRowShown="0" headerRowDxfId="106" dataDxfId="104" headerRowBorderDxfId="105" tableBorderDxfId="103">
  <autoFilter ref="A1:F80" xr:uid="{57E62930-8283-4EF8-AD49-2F147FA93846}"/>
  <tableColumns count="6">
    <tableColumn id="1" xr3:uid="{58EBAD73-55D1-4F95-99CB-A39C6BEA16B5}" name=" Account" dataDxfId="102"/>
    <tableColumn id="2" xr3:uid="{57FFC80B-D6BA-4BAB-BE22-B1E07E5BE0E7}" name=" Acct Desc" dataDxfId="101"/>
    <tableColumn id="3" xr3:uid="{DC3ABD17-BA90-4D91-B0E3-238FA37B792F}" name=" Description" dataDxfId="100"/>
    <tableColumn id="4" xr3:uid="{11A02B35-00AD-45EF-BD49-38C4AB967578}" name=" Trans ID" dataDxfId="99"/>
    <tableColumn id="5" xr3:uid="{E159A38A-EE34-47AA-AF5B-064DA6BF8620}" name=" Amount" dataDxfId="98"/>
    <tableColumn id="6" xr3:uid="{D90DAC81-5F36-4552-8107-1477FEB29880}" name=" Acct Dt" dataDxfId="97"/>
  </tableColumns>
  <tableStyleInfo name="TableStyleMedium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07267E3-7780-420B-818E-6C0ECD01A665}" name="TraFY2017Apr" displayName="TraFY2017Apr" ref="A1:F109" totalsRowShown="0" headerRowDxfId="96" dataDxfId="94" headerRowBorderDxfId="95" tableBorderDxfId="93">
  <autoFilter ref="A1:F109" xr:uid="{70B1F771-74F9-4F17-93F8-4B2C8927451F}"/>
  <tableColumns count="6">
    <tableColumn id="1" xr3:uid="{A2A047A5-CAA1-4EC2-96AC-A659074E2636}" name=" Account" dataDxfId="92"/>
    <tableColumn id="2" xr3:uid="{3A66FACB-5B4F-42DA-BC0A-E9DB11399E87}" name=" Acct Desc" dataDxfId="91"/>
    <tableColumn id="3" xr3:uid="{767048EF-9234-475B-B13A-3E3FC1324DA2}" name=" Description" dataDxfId="90"/>
    <tableColumn id="4" xr3:uid="{119914C6-9E6A-4626-870A-A68F0C97C474}" name=" Trans ID" dataDxfId="89"/>
    <tableColumn id="5" xr3:uid="{BB86CD2C-F73A-4164-A8AB-8B309757F36B}" name=" Amount" dataDxfId="88"/>
    <tableColumn id="6" xr3:uid="{4D6DBB28-35E6-45B8-80B3-5FD3E5881BA8}" name=" Acct Dt" dataDxfId="87"/>
  </tableColumns>
  <tableStyleInfo name="TableStyleMedium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2828DAE-00A6-4F23-864F-919E41C26860}" name="TraFY2017Mar" displayName="TraFY2017Mar" ref="A1:F82" totalsRowShown="0" headerRowDxfId="86" dataDxfId="84" headerRowBorderDxfId="85" tableBorderDxfId="83">
  <autoFilter ref="A1:F82" xr:uid="{E0167876-45B5-423A-A969-FF86A538E67F}"/>
  <tableColumns count="6">
    <tableColumn id="1" xr3:uid="{CAA7A7F3-50A3-4777-AE9E-6E2556B557F3}" name=" Account" dataDxfId="82"/>
    <tableColumn id="2" xr3:uid="{DAAD375D-0FB7-4AF4-A874-11607E88FAF3}" name=" Acct Desc" dataDxfId="81"/>
    <tableColumn id="3" xr3:uid="{7011EE92-FFCF-42AF-9E93-0C6F596EE94B}" name=" Description" dataDxfId="80"/>
    <tableColumn id="4" xr3:uid="{C358B72C-47B1-47D2-AEE4-91D22365C06B}" name=" Trans ID" dataDxfId="79"/>
    <tableColumn id="5" xr3:uid="{0BC4404B-2336-437C-AC14-02A56D021E4F}" name=" Amount" dataDxfId="78"/>
    <tableColumn id="6" xr3:uid="{A5B355B9-31C0-49C1-81DB-1B48A5463012}" name=" Acct Dt" dataDxfId="77"/>
  </tableColumns>
  <tableStyleInfo name="TableStyleMedium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85D7DD8-2910-4D0A-BE1D-6F342365ECDC}" name="TraFY2017Feb" displayName="TraFY2017Feb" ref="A1:F77" totalsRowShown="0" headerRowDxfId="76" dataDxfId="74" headerRowBorderDxfId="75" tableBorderDxfId="73">
  <autoFilter ref="A1:F77" xr:uid="{327450C3-8255-49B2-9117-16C964175814}"/>
  <tableColumns count="6">
    <tableColumn id="1" xr3:uid="{A35F198E-CBB1-44EE-9CAC-0B166C93DEF6}" name=" Account" dataDxfId="72"/>
    <tableColumn id="2" xr3:uid="{78EF201C-0868-4913-88E5-FBF65C07B209}" name=" Acct Desc" dataDxfId="71"/>
    <tableColumn id="3" xr3:uid="{B7750DA9-3669-4C80-A975-E7FD5DA1152A}" name=" Description" dataDxfId="70"/>
    <tableColumn id="4" xr3:uid="{0E8BD73B-4AC2-4D27-8D62-BFA2B8F88569}" name=" Trans ID" dataDxfId="69"/>
    <tableColumn id="5" xr3:uid="{43B2BB67-2A1C-4CBA-AF9A-ED66B98D7941}" name=" Amount" dataDxfId="68"/>
    <tableColumn id="6" xr3:uid="{BF6ACE1B-406E-406E-AC03-336451D50E02}" name=" Acct Dt" dataDxfId="67"/>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A4C351E8-DEB0-4920-AC82-39E51DB53781}" name="TraFY2020Jan" displayName="TraFY2020Jan" ref="A1:F61" totalsRowShown="0" headerRowDxfId="471" dataDxfId="469" headerRowBorderDxfId="470" tableBorderDxfId="468">
  <autoFilter ref="A1:F61" xr:uid="{8A521AB9-7B03-4BB4-AFD5-7EB6AAEBC37B}"/>
  <tableColumns count="6">
    <tableColumn id="3" xr3:uid="{24646E28-44B8-4DB2-8BA7-01EDD11DC214}" name=" Account" dataDxfId="467"/>
    <tableColumn id="4" xr3:uid="{CE613544-62B3-44CA-8E67-20FB605A7CF0}" name=" Acct Desc" dataDxfId="466"/>
    <tableColumn id="5" xr3:uid="{5BC983B8-B803-4BD7-8926-124B10AD0F71}" name=" Description" dataDxfId="465"/>
    <tableColumn id="7" xr3:uid="{9682E4E1-12D7-497C-90A6-4EF9677F91CE}" name=" Trans ID" dataDxfId="464"/>
    <tableColumn id="8" xr3:uid="{3E31A5AB-563F-40B9-8A55-7EE874F19668}" name=" Amount" dataDxfId="463"/>
    <tableColumn id="9" xr3:uid="{9A829D25-9B00-4347-AA95-018EF404C811}" name=" Acct Dt" dataDxfId="462"/>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BFBE99E-FFD6-464E-BFD9-D019EF733B7E}" name="TraFY2017Jan" displayName="TraFY2017Jan" ref="A1:F35" totalsRowShown="0" headerRowDxfId="66" dataDxfId="64" headerRowBorderDxfId="65" tableBorderDxfId="63">
  <autoFilter ref="A1:F35" xr:uid="{D2DBBA6D-E068-45F5-A5F3-1593AF2985BB}"/>
  <tableColumns count="6">
    <tableColumn id="1" xr3:uid="{EBFDE344-4F52-4996-B05E-3517E6EE6ECB}" name=" Account" dataDxfId="62"/>
    <tableColumn id="2" xr3:uid="{BED0458D-A106-4D61-9EA4-689B555B1B7C}" name=" Acct Desc" dataDxfId="61"/>
    <tableColumn id="3" xr3:uid="{60BD9D49-C818-4A03-A5C2-2337E6A9B057}" name=" Description" dataDxfId="60"/>
    <tableColumn id="4" xr3:uid="{CBFCDD90-A3D6-4DD9-AFBB-BB62BB4AE474}" name=" Trans ID" dataDxfId="59"/>
    <tableColumn id="5" xr3:uid="{A816ABA4-EFE2-4B72-BC4B-C638C4E19B3C}" name=" Amount" dataDxfId="58"/>
    <tableColumn id="6" xr3:uid="{95F11B54-CABB-4DB2-B830-1CA34FEA7254}" name=" Acct Dt" dataDxfId="57"/>
  </tableColumns>
  <tableStyleInfo name="TableStyleMedium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83A97EF-7DA0-4351-B4F2-03C700843948}" name="TraFY2017Dec" displayName="TraFY2017Dec" ref="A1:F51" totalsRowShown="0" headerRowDxfId="56" dataDxfId="54" headerRowBorderDxfId="55" tableBorderDxfId="53">
  <autoFilter ref="A1:F51" xr:uid="{E454630B-9950-4955-BC4D-873BFD1EB577}"/>
  <tableColumns count="6">
    <tableColumn id="1" xr3:uid="{B8A9398B-2FAE-452B-A192-F00377CC332E}" name=" Account" dataDxfId="52"/>
    <tableColumn id="2" xr3:uid="{E3707B65-1CF8-41B9-B428-6FA0C803B83C}" name=" Acct Desc" dataDxfId="51"/>
    <tableColumn id="3" xr3:uid="{ADA62766-7F0B-4EA4-A347-25E623FABDA2}" name=" Description" dataDxfId="50"/>
    <tableColumn id="4" xr3:uid="{060746E2-2FF4-41D6-BF47-137A0DE72532}" name=" Trans ID" dataDxfId="49"/>
    <tableColumn id="5" xr3:uid="{E6AE3CDA-1A2C-4B95-AF18-9838C06AB277}" name=" Amount" dataDxfId="48"/>
    <tableColumn id="6" xr3:uid="{91DDB2B7-F3AB-4E7F-8FDA-1E401F0FCC36}" name=" Acct Dt" dataDxfId="47"/>
  </tableColumns>
  <tableStyleInfo name="TableStyleMedium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32C426D-6355-4D9D-8947-EAE4B10961B0}" name="TraFY2017Nov" displayName="TraFY2017Nov" ref="A1:F54" totalsRowShown="0" headerRowDxfId="46" dataDxfId="44" headerRowBorderDxfId="45" tableBorderDxfId="43">
  <autoFilter ref="A1:F54" xr:uid="{B00638D3-2D05-4444-9345-818CFE4F8C85}"/>
  <tableColumns count="6">
    <tableColumn id="1" xr3:uid="{8ECB54E5-5E37-49B9-A664-017545CF2439}" name=" Account" dataDxfId="42"/>
    <tableColumn id="2" xr3:uid="{A48D4D65-FCD1-4FD4-B67E-CB03DCE3D946}" name=" Acct Desc" dataDxfId="41"/>
    <tableColumn id="3" xr3:uid="{9463F301-8DE7-4D78-B403-7CD3BC454244}" name=" Description" dataDxfId="40"/>
    <tableColumn id="4" xr3:uid="{3687F6C2-A3D1-4495-A43B-CE04B621F59F}" name=" Trans ID" dataDxfId="39"/>
    <tableColumn id="5" xr3:uid="{F8602C57-1FB5-4CEC-B8A4-FE0E027808FD}" name=" Amount" dataDxfId="38"/>
    <tableColumn id="6" xr3:uid="{5CB5727D-E8A5-4A4B-A6F9-A787FD0B0AB8}" name=" Acct Dt" dataDxfId="37"/>
  </tableColumns>
  <tableStyleInfo name="TableStyleMedium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721A0B8-03CD-4717-86F5-F2D38C79F2A9}" name="TraFY2017Oct" displayName="TraFY2017Oct" ref="A1:F93" totalsRowShown="0" headerRowDxfId="36" dataDxfId="34" headerRowBorderDxfId="35" tableBorderDxfId="33">
  <autoFilter ref="A1:F93" xr:uid="{29BB45E8-6D87-4768-90CD-69D5F30B435E}"/>
  <tableColumns count="6">
    <tableColumn id="1" xr3:uid="{DB2143A7-862B-472C-A12B-FAB8B7F70E08}" name=" Account" dataDxfId="32"/>
    <tableColumn id="2" xr3:uid="{29F7080D-4EAB-487F-B352-647791D1D71D}" name=" Acct Desc" dataDxfId="31"/>
    <tableColumn id="3" xr3:uid="{0DACF56C-3354-4B8E-B0D5-10C6F0CA3921}" name=" Description" dataDxfId="30"/>
    <tableColumn id="4" xr3:uid="{70FFBB52-9D1C-43D7-8E87-DD161CA3F348}" name=" Trans ID" dataDxfId="29"/>
    <tableColumn id="5" xr3:uid="{2708A00C-6370-4855-9D4F-10B3A89D6041}" name=" Amount" dataDxfId="28"/>
    <tableColumn id="6" xr3:uid="{528602C6-5D7B-4918-A23C-4F39264475F3}" name=" Acct Dt" dataDxfId="27"/>
  </tableColumns>
  <tableStyleInfo name="TableStyleMedium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90C4C78-A046-4BBB-8A23-C4B055BC4CE8}" name="TraFY2017Sep" displayName="TraFY2017Sep" ref="A1:F77" totalsRowShown="0" headerRowDxfId="26" dataDxfId="24" headerRowBorderDxfId="25" tableBorderDxfId="23">
  <autoFilter ref="A1:F77" xr:uid="{E3E68627-036F-43BF-8E4E-D0F2D0F36DF9}"/>
  <tableColumns count="6">
    <tableColumn id="1" xr3:uid="{40602746-FB57-4B58-9635-6EEF39B5F003}" name=" Account" dataDxfId="22"/>
    <tableColumn id="2" xr3:uid="{6EAF2259-CAD5-4466-8864-0DC0EF5EDE45}" name=" Acct Desc" dataDxfId="21"/>
    <tableColumn id="3" xr3:uid="{0A0EB4B9-1E79-41A9-82D2-C60C6DBCD038}" name=" Description" dataDxfId="20"/>
    <tableColumn id="4" xr3:uid="{825B66F8-B275-409F-B2B2-10006A805928}" name=" Trans ID" dataDxfId="19"/>
    <tableColumn id="5" xr3:uid="{1C3CAC8D-EBD9-436F-AB50-63D39EC59D03}" name=" Amount" dataDxfId="18"/>
    <tableColumn id="6" xr3:uid="{A9352196-B197-4408-AAFA-BEF318831786}" name=" Acct Dt" dataDxfId="17"/>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E755A71-8E7F-4A71-A4E9-9CE262082CB3}" name="TraFY2017Aug" displayName="TraFY2017Aug" ref="A1:F49" totalsRowShown="0" headerRowDxfId="16" dataDxfId="14" headerRowBorderDxfId="15" tableBorderDxfId="13">
  <autoFilter ref="A1:F49" xr:uid="{2072E693-712C-4907-BFF4-F0FE7C41E669}"/>
  <tableColumns count="6">
    <tableColumn id="1" xr3:uid="{5C7B05ED-13DA-48F0-9637-6BDF9DFDFB6F}" name=" Account" dataDxfId="12"/>
    <tableColumn id="2" xr3:uid="{976B3363-9F45-4E72-9F75-719B27DD1ABF}" name=" Acct Desc" dataDxfId="11"/>
    <tableColumn id="3" xr3:uid="{4837772D-74EC-49A2-AB72-5AFA289F4C65}" name=" Description" dataDxfId="10"/>
    <tableColumn id="4" xr3:uid="{A804C81B-68A9-4733-8429-04F36AA5E950}" name=" Trans ID" dataDxfId="9"/>
    <tableColumn id="5" xr3:uid="{FD315F67-D10A-4B80-995A-BFD058197F7D}" name=" Amount" dataDxfId="8"/>
    <tableColumn id="6" xr3:uid="{3639BE22-80F8-4DDC-9956-7056D73B5604}" name=" Acct Dt" dataDxfId="7"/>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7453D8-723D-4E89-972E-8249D98B2A26}" name="TraFY2017Jul" displayName="TraFY2017Jul" ref="A1:F33" totalsRowShown="0" dataDxfId="6">
  <autoFilter ref="A1:F33" xr:uid="{44232069-9613-4CE9-830E-4157F4EE261B}"/>
  <tableColumns count="6">
    <tableColumn id="1" xr3:uid="{D82C3B6B-98ED-414C-8E54-3E7076D8F89A}" name=" Account" dataDxfId="5"/>
    <tableColumn id="2" xr3:uid="{3E6DC112-F539-46B9-B9BA-798A99ADB9D8}" name=" Acct Desc" dataDxfId="4"/>
    <tableColumn id="4" xr3:uid="{4543AF3B-65B5-494C-8BCE-EBF7079C6F7D}" name=" Description" dataDxfId="3"/>
    <tableColumn id="5" xr3:uid="{D31051F3-4225-45A4-B942-7A43D3C4E2E7}" name=" Trans ID" dataDxfId="2"/>
    <tableColumn id="6" xr3:uid="{DC77B61D-8CD0-48DC-B14A-09CEA5CD0C95}" name=" Amount" dataDxfId="1"/>
    <tableColumn id="7" xr3:uid="{78E752A2-AF18-46E9-BCEC-9439E7D2A005}" name=" Acct Dt" dataDxfId="0"/>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42A6888F-3810-4BF1-B3A7-E219F1ED3843}" name="TraFY2020Dec" displayName="TraFY2020Dec" ref="A1:F48" totalsRowShown="0" headerRowDxfId="453" dataDxfId="451" headerRowBorderDxfId="452" tableBorderDxfId="450">
  <autoFilter ref="A1:F48" xr:uid="{8A521AB9-7B03-4BB4-AFD5-7EB6AAEBC37B}"/>
  <tableColumns count="6">
    <tableColumn id="3" xr3:uid="{C1B6E94D-C431-4FCF-A240-083EEFC95891}" name=" Account" dataDxfId="449"/>
    <tableColumn id="4" xr3:uid="{6A79B62E-8492-4420-BA1A-2F94680816C4}" name=" Acct Desc" dataDxfId="448"/>
    <tableColumn id="5" xr3:uid="{9A510139-BF7B-4BE8-8BC7-8CA2FDA8CA26}" name=" Description" dataDxfId="447"/>
    <tableColumn id="7" xr3:uid="{E2C2CCE8-BDBB-4CBF-B47A-92D73B0E2DB8}" name=" Trans ID" dataDxfId="446"/>
    <tableColumn id="8" xr3:uid="{A237AB9D-03D7-4EC8-9F7D-5845820A5B17}" name=" Amount" dataDxfId="445"/>
    <tableColumn id="9" xr3:uid="{172A5063-CC70-4CD4-86FC-16C534873892}" name=" Acct Dt" dataDxfId="444"/>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2BFB84C8-8DBD-4EE9-B884-550EFE331334}" name="TraFY2020Nov" displayName="TraFY2020Nov" ref="A1:F74" totalsRowShown="0" headerRowDxfId="435" dataDxfId="433" headerRowBorderDxfId="434" tableBorderDxfId="432">
  <autoFilter ref="A1:F74" xr:uid="{8A521AB9-7B03-4BB4-AFD5-7EB6AAEBC37B}"/>
  <tableColumns count="6">
    <tableColumn id="3" xr3:uid="{2946C5AE-BF4F-401B-A532-E4FC89C77B72}" name=" Account" dataDxfId="431"/>
    <tableColumn id="4" xr3:uid="{57260B43-4C1D-48DC-8CBE-2D76CDCE61DA}" name=" Acct Desc" dataDxfId="430"/>
    <tableColumn id="5" xr3:uid="{5B9D2E1B-176F-41DA-8BE6-41F9A273F398}" name=" Description" dataDxfId="429"/>
    <tableColumn id="7" xr3:uid="{7568D360-C96D-4EFC-A325-EE416ED55655}" name=" Trans ID" dataDxfId="428"/>
    <tableColumn id="8" xr3:uid="{3F731E88-C052-41F3-ACEC-8AC9325F8A13}" name=" Amount" dataDxfId="427"/>
    <tableColumn id="9" xr3:uid="{CF088F5C-C13F-4C61-B4FD-3CEAD2D3F74D}" name=" Acct Dt" dataDxfId="426"/>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992B3E49-F5F4-496A-9EE4-93E071833C7E}" name="TraFY2020Oct" displayName="TraFY2020Oct" ref="A1:F66" totalsRowShown="0" headerRowDxfId="417" dataDxfId="415" headerRowBorderDxfId="416" tableBorderDxfId="414">
  <autoFilter ref="A1:F66" xr:uid="{8A521AB9-7B03-4BB4-AFD5-7EB6AAEBC37B}"/>
  <tableColumns count="6">
    <tableColumn id="3" xr3:uid="{FA74F326-352B-47D1-9FF2-0601DE119ADE}" name=" Account" dataDxfId="413"/>
    <tableColumn id="4" xr3:uid="{50C64CCE-1169-4D49-839D-7F644D4DB0A9}" name=" Acct Desc" dataDxfId="412"/>
    <tableColumn id="5" xr3:uid="{F466CAB4-372F-4F22-A06D-4FF97BF34D93}" name=" Description" dataDxfId="411"/>
    <tableColumn id="7" xr3:uid="{A450E5D0-5744-41E8-842C-40B1A69FEA5F}" name=" Trans ID" dataDxfId="410"/>
    <tableColumn id="8" xr3:uid="{C27C8F79-A061-437B-AB51-D42466ADF0CE}" name=" Amount" dataDxfId="409"/>
    <tableColumn id="9" xr3:uid="{89C5BE1C-723D-4526-894B-BEAFCF56777E}" name=" Acct Dt" dataDxfId="408"/>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925A2ADC-0952-44CB-AA96-5E1A58E54F9F}" name="TraFY2020Sep" displayName="TraFY2020Sep" ref="A1:F46" totalsRowShown="0" headerRowDxfId="399" dataDxfId="397" headerRowBorderDxfId="398" tableBorderDxfId="396">
  <autoFilter ref="A1:F46" xr:uid="{3331BA0E-D847-4867-A354-0F236F52A8FD}"/>
  <tableColumns count="6">
    <tableColumn id="3" xr3:uid="{88784C3C-FC57-43F3-BAF8-F2B4577F3446}" name=" Account" dataDxfId="395"/>
    <tableColumn id="4" xr3:uid="{8CEB2603-8FA1-41AC-98EC-C8B57F511053}" name=" Acct Desc" dataDxfId="394"/>
    <tableColumn id="5" xr3:uid="{0442F05B-0196-485C-B5ED-8D580A707844}" name=" Description" dataDxfId="393"/>
    <tableColumn id="7" xr3:uid="{BD4CDEAC-9E19-48A3-9A64-B50AF8B9A547}" name=" Trans ID" dataDxfId="392"/>
    <tableColumn id="8" xr3:uid="{E336ABE4-7ED4-4483-9D03-D0CEA13A420A}" name=" Amount" dataDxfId="391"/>
    <tableColumn id="9" xr3:uid="{8408282D-FAAA-4882-9A99-EA67DB11F90E}" name=" Acct Dt" dataDxfId="390"/>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D99103A-64F0-4CF3-9DA5-9CC5B4B29726}" name="TraFY2020Aug" displayName="TraFY2020Aug" ref="A1:F31" totalsRowShown="0" headerRowDxfId="381" dataDxfId="379" headerRowBorderDxfId="380" tableBorderDxfId="378">
  <autoFilter ref="A1:F31" xr:uid="{399A90AF-9D6C-4875-B32A-8336117BCB17}"/>
  <tableColumns count="6">
    <tableColumn id="3" xr3:uid="{707802B0-0160-4D13-ACF9-59208AB8FD5A}" name=" Account" dataDxfId="377"/>
    <tableColumn id="4" xr3:uid="{CCDAEF21-3EE0-4064-8E4C-3FD4046DC5BD}" name=" Acct Desc" dataDxfId="376"/>
    <tableColumn id="5" xr3:uid="{C919D6A9-E533-4B41-AED1-0FD1D098FA83}" name=" Description" dataDxfId="375"/>
    <tableColumn id="7" xr3:uid="{C732E1C0-AE98-4339-BF5F-5A147B2A9046}" name=" Trans ID" dataDxfId="374"/>
    <tableColumn id="8" xr3:uid="{878C8E49-94EE-4203-BFCF-E37113A73CC9}" name=" Amount" dataDxfId="373"/>
    <tableColumn id="9" xr3:uid="{D17AD9EF-DE67-46AD-95FB-1679F1FD0491}" name=" Acct Dt" dataDxfId="372"/>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42.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44.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0.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0.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63.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B260C-8061-468E-A56C-609C7903BDEB}">
  <dimension ref="A1:E48"/>
  <sheetViews>
    <sheetView tabSelected="1" zoomScale="125" zoomScaleNormal="125" workbookViewId="0">
      <selection sqref="A1:E2"/>
    </sheetView>
  </sheetViews>
  <sheetFormatPr defaultRowHeight="12.75" x14ac:dyDescent="0.2"/>
  <cols>
    <col min="1" max="1" width="40.7109375" style="106" customWidth="1"/>
    <col min="2" max="3" width="20.7109375" style="106" customWidth="1"/>
    <col min="4" max="4" width="20.7109375" style="230" customWidth="1"/>
    <col min="5" max="5" width="20.7109375" style="106" customWidth="1"/>
    <col min="6" max="6" width="10.28515625" style="106" bestFit="1" customWidth="1"/>
    <col min="7" max="16384" width="9.140625" style="106"/>
  </cols>
  <sheetData>
    <row r="1" spans="1:5" ht="12.75" customHeight="1" x14ac:dyDescent="0.2">
      <c r="A1" s="350" t="s">
        <v>2118</v>
      </c>
      <c r="B1" s="351"/>
      <c r="C1" s="351"/>
      <c r="D1" s="351"/>
      <c r="E1" s="352"/>
    </row>
    <row r="2" spans="1:5" ht="12.75" customHeight="1" x14ac:dyDescent="0.2">
      <c r="A2" s="353"/>
      <c r="B2" s="354"/>
      <c r="C2" s="354"/>
      <c r="D2" s="354"/>
      <c r="E2" s="355"/>
    </row>
    <row r="3" spans="1:5" ht="12.75" customHeight="1" x14ac:dyDescent="0.2">
      <c r="A3" s="344" t="s">
        <v>2127</v>
      </c>
      <c r="B3" s="345"/>
      <c r="C3" s="345"/>
      <c r="D3" s="345"/>
      <c r="E3" s="346"/>
    </row>
    <row r="4" spans="1:5" ht="12.75" customHeight="1" x14ac:dyDescent="0.2">
      <c r="A4" s="104" t="s">
        <v>53</v>
      </c>
      <c r="B4" s="105" t="s">
        <v>2123</v>
      </c>
      <c r="C4" s="109" t="s">
        <v>2120</v>
      </c>
      <c r="D4" s="231" t="s">
        <v>2119</v>
      </c>
      <c r="E4" s="232" t="s">
        <v>2125</v>
      </c>
    </row>
    <row r="5" spans="1:5" x14ac:dyDescent="0.2">
      <c r="A5" s="356" t="s">
        <v>132</v>
      </c>
      <c r="B5" s="357"/>
      <c r="C5" s="357"/>
      <c r="D5" s="357"/>
      <c r="E5" s="358"/>
    </row>
    <row r="6" spans="1:5" x14ac:dyDescent="0.2">
      <c r="A6" s="233" t="str">
        <f>'FY2020 Monthly Detail'!A10</f>
        <v>(0.1) Reserves</v>
      </c>
      <c r="B6" s="234">
        <f>'FY2020 Monthly Overview'!B9</f>
        <v>209625.3</v>
      </c>
      <c r="C6" s="234">
        <f>'FY2020 Monthly Overview'!P9</f>
        <v>1971.7399999999907</v>
      </c>
      <c r="D6" s="235">
        <f>C6/B6</f>
        <v>9.4060211243585136E-3</v>
      </c>
      <c r="E6" s="236">
        <f>'FY2020 Monthly Overview'!Q9</f>
        <v>211597.03999999998</v>
      </c>
    </row>
    <row r="7" spans="1:5" x14ac:dyDescent="0.2">
      <c r="A7" s="233" t="str">
        <f>'FY2020 Monthly Detail'!A14</f>
        <v>(0.2) Capital</v>
      </c>
      <c r="B7" s="234">
        <f>'FY2020 Monthly Overview'!B10</f>
        <v>0</v>
      </c>
      <c r="C7" s="234">
        <f>'FY2020 Monthly Overview'!P10</f>
        <v>452.02</v>
      </c>
      <c r="D7" s="235"/>
      <c r="E7" s="236">
        <f>'FY2020 Monthly Overview'!Q10</f>
        <v>452.02</v>
      </c>
    </row>
    <row r="8" spans="1:5" x14ac:dyDescent="0.2">
      <c r="A8" s="237" t="s">
        <v>138</v>
      </c>
      <c r="B8" s="201">
        <f>'FY2020 Monthly Overview'!B11</f>
        <v>209625.3</v>
      </c>
      <c r="C8" s="201">
        <f>'FY2020 Monthly Overview'!P11</f>
        <v>2423.7599999999948</v>
      </c>
      <c r="D8" s="238">
        <f>C8/B8</f>
        <v>1.1562344812386648E-2</v>
      </c>
      <c r="E8" s="239">
        <f>'FY2020 Monthly Overview'!Q11</f>
        <v>212049.06</v>
      </c>
    </row>
    <row r="9" spans="1:5" x14ac:dyDescent="0.2">
      <c r="A9" s="268"/>
      <c r="B9" s="234"/>
      <c r="C9" s="234"/>
      <c r="D9" s="235"/>
      <c r="E9" s="236"/>
    </row>
    <row r="10" spans="1:5" ht="15.75" x14ac:dyDescent="0.2">
      <c r="A10" s="344" t="s">
        <v>2126</v>
      </c>
      <c r="B10" s="345"/>
      <c r="C10" s="345"/>
      <c r="D10" s="345"/>
      <c r="E10" s="346"/>
    </row>
    <row r="11" spans="1:5" ht="15.75" x14ac:dyDescent="0.2">
      <c r="A11" s="104" t="s">
        <v>53</v>
      </c>
      <c r="B11" s="105"/>
      <c r="C11" s="109" t="s">
        <v>2121</v>
      </c>
      <c r="D11" s="231"/>
      <c r="E11" s="232"/>
    </row>
    <row r="12" spans="1:5" x14ac:dyDescent="0.2">
      <c r="A12" s="359" t="s">
        <v>55</v>
      </c>
      <c r="B12" s="360"/>
      <c r="C12" s="360"/>
      <c r="D12" s="360"/>
      <c r="E12" s="361"/>
    </row>
    <row r="13" spans="1:5" x14ac:dyDescent="0.2">
      <c r="A13" s="233" t="str">
        <f>'FY2020 Monthly Detail'!A23</f>
        <v>(1.1) Recurring</v>
      </c>
      <c r="B13" s="234"/>
      <c r="C13" s="234">
        <f>'FY2020 Monthly Overview'!P14</f>
        <v>213414.37</v>
      </c>
      <c r="D13" s="235"/>
      <c r="E13" s="236"/>
    </row>
    <row r="14" spans="1:5" x14ac:dyDescent="0.2">
      <c r="A14" s="233" t="str">
        <f>'FY2020 Monthly Detail'!A29</f>
        <v>(1.2) Non-Recurring</v>
      </c>
      <c r="B14" s="234"/>
      <c r="C14" s="234">
        <f>'FY2020 Monthly Overview'!P15</f>
        <v>421</v>
      </c>
      <c r="D14" s="235"/>
      <c r="E14" s="236"/>
    </row>
    <row r="15" spans="1:5" x14ac:dyDescent="0.2">
      <c r="A15" s="241" t="s">
        <v>62</v>
      </c>
      <c r="B15" s="202"/>
      <c r="C15" s="202">
        <f>'FY2020 Monthly Overview'!P16</f>
        <v>213835.37</v>
      </c>
      <c r="D15" s="242"/>
      <c r="E15" s="243"/>
    </row>
    <row r="16" spans="1:5" x14ac:dyDescent="0.2">
      <c r="A16" s="244"/>
      <c r="B16" s="234"/>
      <c r="C16" s="234"/>
      <c r="D16" s="235"/>
      <c r="E16" s="236"/>
    </row>
    <row r="17" spans="1:5" ht="15.75" x14ac:dyDescent="0.2">
      <c r="A17" s="344" t="s">
        <v>169</v>
      </c>
      <c r="B17" s="345"/>
      <c r="C17" s="345"/>
      <c r="D17" s="345"/>
      <c r="E17" s="346"/>
    </row>
    <row r="18" spans="1:5" ht="15.75" x14ac:dyDescent="0.2">
      <c r="A18" s="104" t="s">
        <v>53</v>
      </c>
      <c r="B18" s="105" t="s">
        <v>1974</v>
      </c>
      <c r="C18" s="109" t="s">
        <v>2122</v>
      </c>
      <c r="D18" s="231" t="s">
        <v>2124</v>
      </c>
      <c r="E18" s="232" t="s">
        <v>2109</v>
      </c>
    </row>
    <row r="19" spans="1:5" x14ac:dyDescent="0.2">
      <c r="A19" s="362" t="s">
        <v>63</v>
      </c>
      <c r="B19" s="363"/>
      <c r="C19" s="363"/>
      <c r="D19" s="363"/>
      <c r="E19" s="364"/>
    </row>
    <row r="20" spans="1:5" x14ac:dyDescent="0.2">
      <c r="A20" s="233" t="str">
        <f>'FY2020 Monthly Detail'!A40</f>
        <v>(2.1) Officers</v>
      </c>
      <c r="B20" s="234">
        <f>'FY2020 Monthly Overview'!B21</f>
        <v>24750</v>
      </c>
      <c r="C20" s="234">
        <f>'FY2020 Monthly Overview'!P21</f>
        <v>19800</v>
      </c>
      <c r="D20" s="235">
        <f>C20/B20</f>
        <v>0.8</v>
      </c>
      <c r="E20" s="236">
        <f>'FY2020 Monthly Overview'!Q21</f>
        <v>4950</v>
      </c>
    </row>
    <row r="21" spans="1:5" x14ac:dyDescent="0.2">
      <c r="A21" s="233" t="str">
        <f>'FY2020 Monthly Detail'!A52</f>
        <v>(2.2) Professional Staff</v>
      </c>
      <c r="B21" s="234">
        <f>'FY2020 Monthly Overview'!B22</f>
        <v>69429.16</v>
      </c>
      <c r="C21" s="234">
        <f>'FY2020 Monthly Overview'!P22</f>
        <v>51242.450000000004</v>
      </c>
      <c r="D21" s="235">
        <f>C21/B21</f>
        <v>0.73805372267214531</v>
      </c>
      <c r="E21" s="236">
        <f>'FY2020 Monthly Overview'!Q22</f>
        <v>18186.71</v>
      </c>
    </row>
    <row r="22" spans="1:5" x14ac:dyDescent="0.2">
      <c r="A22" s="233" t="str">
        <f>'FY2020 Monthly Detail'!A60</f>
        <v>(2.3) Delegates</v>
      </c>
      <c r="B22" s="234">
        <f>'FY2020 Monthly Overview'!B23</f>
        <v>17000</v>
      </c>
      <c r="C22" s="234">
        <f>'FY2020 Monthly Overview'!P23</f>
        <v>12750</v>
      </c>
      <c r="D22" s="235">
        <f>C22/B22</f>
        <v>0.75</v>
      </c>
      <c r="E22" s="236">
        <f>'FY2020 Monthly Overview'!Q23</f>
        <v>4250</v>
      </c>
    </row>
    <row r="23" spans="1:5" x14ac:dyDescent="0.2">
      <c r="A23" s="245" t="s">
        <v>85</v>
      </c>
      <c r="B23" s="203">
        <f>'FY2020 Monthly Overview'!B24</f>
        <v>111179.16</v>
      </c>
      <c r="C23" s="203">
        <f>'FY2020 Monthly Overview'!P24</f>
        <v>83792.45</v>
      </c>
      <c r="D23" s="246">
        <f>C23/B23</f>
        <v>0.75367047205609394</v>
      </c>
      <c r="E23" s="247">
        <f>'FY2020 Monthly Overview'!Q24</f>
        <v>27386.710000000006</v>
      </c>
    </row>
    <row r="24" spans="1:5" x14ac:dyDescent="0.2">
      <c r="A24" s="20"/>
      <c r="B24" s="4"/>
      <c r="C24" s="3"/>
      <c r="D24" s="240"/>
      <c r="E24" s="19"/>
    </row>
    <row r="25" spans="1:5" x14ac:dyDescent="0.2">
      <c r="A25" s="347" t="s">
        <v>130</v>
      </c>
      <c r="B25" s="348"/>
      <c r="C25" s="348"/>
      <c r="D25" s="348"/>
      <c r="E25" s="349"/>
    </row>
    <row r="26" spans="1:5" x14ac:dyDescent="0.2">
      <c r="A26" s="233" t="str">
        <f>'FY2020 Monthly Detail'!A68</f>
        <v>(3.1) Office</v>
      </c>
      <c r="B26" s="234">
        <f>'FY2020 Monthly Overview'!B27</f>
        <v>1174</v>
      </c>
      <c r="C26" s="234">
        <f>'FY2020 Monthly Overview'!P27</f>
        <v>402.53000000000003</v>
      </c>
      <c r="D26" s="235">
        <f>C26/B26</f>
        <v>0.34287052810902896</v>
      </c>
      <c r="E26" s="236">
        <f>'FY2020 Monthly Overview'!Q27</f>
        <v>771.47</v>
      </c>
    </row>
    <row r="27" spans="1:5" x14ac:dyDescent="0.2">
      <c r="A27" s="233" t="str">
        <f>'FY2020 Monthly Detail'!A73</f>
        <v>(3.2) Information Technology</v>
      </c>
      <c r="B27" s="234">
        <f>'FY2020 Monthly Overview'!B28</f>
        <v>1632</v>
      </c>
      <c r="C27" s="234">
        <f>'FY2020 Monthly Overview'!P28</f>
        <v>584.02</v>
      </c>
      <c r="D27" s="235">
        <f>C27/B27</f>
        <v>0.35785539215686274</v>
      </c>
      <c r="E27" s="236">
        <f>'FY2020 Monthly Overview'!Q28</f>
        <v>1047.98</v>
      </c>
    </row>
    <row r="28" spans="1:5" x14ac:dyDescent="0.2">
      <c r="A28" s="248" t="s">
        <v>95</v>
      </c>
      <c r="B28" s="204">
        <f>'FY2020 Monthly Overview'!B29</f>
        <v>2806</v>
      </c>
      <c r="C28" s="204">
        <f>'FY2020 Monthly Overview'!P29</f>
        <v>986.55</v>
      </c>
      <c r="D28" s="249">
        <f>C28/B28</f>
        <v>0.35158588738417673</v>
      </c>
      <c r="E28" s="250">
        <f>'FY2020 Monthly Overview'!Q29</f>
        <v>1819.45</v>
      </c>
    </row>
    <row r="29" spans="1:5" x14ac:dyDescent="0.2">
      <c r="A29" s="20"/>
      <c r="B29" s="4"/>
      <c r="C29" s="3"/>
      <c r="D29" s="240"/>
      <c r="E29" s="19"/>
    </row>
    <row r="30" spans="1:5" x14ac:dyDescent="0.2">
      <c r="A30" s="335" t="s">
        <v>96</v>
      </c>
      <c r="B30" s="336"/>
      <c r="C30" s="336"/>
      <c r="D30" s="336"/>
      <c r="E30" s="337"/>
    </row>
    <row r="31" spans="1:5" x14ac:dyDescent="0.2">
      <c r="A31" s="233" t="str">
        <f>'FY2020 Monthly Detail'!A83</f>
        <v>(4.1) Business Meetings</v>
      </c>
      <c r="B31" s="234">
        <f>'FY2020 Monthly Overview'!B32</f>
        <v>59500</v>
      </c>
      <c r="C31" s="234">
        <f>'FY2020 Monthly Overview'!P32</f>
        <v>59500</v>
      </c>
      <c r="D31" s="235">
        <f>C31/B31</f>
        <v>1</v>
      </c>
      <c r="E31" s="236">
        <f>'FY2020 Monthly Overview'!Q32</f>
        <v>0</v>
      </c>
    </row>
    <row r="32" spans="1:5" x14ac:dyDescent="0.2">
      <c r="A32" s="233" t="str">
        <f>'FY2020 Monthly Detail'!A89</f>
        <v>(4.2) Special Events</v>
      </c>
      <c r="B32" s="234">
        <f>'FY2020 Monthly Overview'!B33</f>
        <v>8000</v>
      </c>
      <c r="C32" s="234">
        <f>'FY2020 Monthly Overview'!P33</f>
        <v>8000</v>
      </c>
      <c r="D32" s="235">
        <f>C32/B32</f>
        <v>1</v>
      </c>
      <c r="E32" s="236">
        <f>'FY2020 Monthly Overview'!Q33</f>
        <v>0</v>
      </c>
    </row>
    <row r="33" spans="1:5" x14ac:dyDescent="0.2">
      <c r="A33" s="251" t="s">
        <v>106</v>
      </c>
      <c r="B33" s="205">
        <f>'FY2020 Monthly Overview'!B34</f>
        <v>67500</v>
      </c>
      <c r="C33" s="205">
        <f>'FY2020 Monthly Overview'!P34</f>
        <v>67500</v>
      </c>
      <c r="D33" s="252">
        <f>C33/B33</f>
        <v>1</v>
      </c>
      <c r="E33" s="253">
        <f>'FY2020 Monthly Overview'!Q34</f>
        <v>0</v>
      </c>
    </row>
    <row r="34" spans="1:5" x14ac:dyDescent="0.2">
      <c r="A34" s="20"/>
      <c r="B34" s="4"/>
      <c r="C34" s="3"/>
      <c r="D34" s="240"/>
      <c r="E34" s="19"/>
    </row>
    <row r="35" spans="1:5" x14ac:dyDescent="0.2">
      <c r="A35" s="338" t="s">
        <v>107</v>
      </c>
      <c r="B35" s="339"/>
      <c r="C35" s="339"/>
      <c r="D35" s="339"/>
      <c r="E35" s="340"/>
    </row>
    <row r="36" spans="1:5" x14ac:dyDescent="0.2">
      <c r="A36" s="233" t="str">
        <f>'FY2020 Monthly Detail'!A99</f>
        <v>(5.1) Advocacy</v>
      </c>
      <c r="B36" s="234">
        <f>'FY2020 Monthly Overview'!B37</f>
        <v>3250</v>
      </c>
      <c r="C36" s="234">
        <f>'FY2020 Monthly Overview'!P37</f>
        <v>3250</v>
      </c>
      <c r="D36" s="235">
        <f>C36/B36</f>
        <v>1</v>
      </c>
      <c r="E36" s="236">
        <f>'FY2020 Monthly Overview'!Q37</f>
        <v>0</v>
      </c>
    </row>
    <row r="37" spans="1:5" x14ac:dyDescent="0.2">
      <c r="A37" s="233" t="str">
        <f>'FY2020 Monthly Detail'!A103</f>
        <v>(5.2) Grant Funds</v>
      </c>
      <c r="B37" s="234">
        <f>'FY2020 Monthly Overview'!B38</f>
        <v>37000</v>
      </c>
      <c r="C37" s="234">
        <f>'FY2020 Monthly Overview'!P38</f>
        <v>37000</v>
      </c>
      <c r="D37" s="235">
        <f>C37/B37</f>
        <v>1</v>
      </c>
      <c r="E37" s="236">
        <f>'FY2020 Monthly Overview'!Q38</f>
        <v>0</v>
      </c>
    </row>
    <row r="38" spans="1:5" x14ac:dyDescent="0.2">
      <c r="A38" s="233" t="str">
        <f>'FY2020 Monthly Detail'!A108</f>
        <v>(5.3) Discretionary Funds</v>
      </c>
      <c r="B38" s="234">
        <f>'FY2020 Monthly Overview'!B39</f>
        <v>2000</v>
      </c>
      <c r="C38" s="234">
        <f>'FY2020 Monthly Overview'!P39</f>
        <v>-9534.2700000000041</v>
      </c>
      <c r="D38" s="235">
        <f>C38/B38</f>
        <v>-4.7671350000000023</v>
      </c>
      <c r="E38" s="236">
        <f>'FY2020 Monthly Overview'!Q39</f>
        <v>11534.270000000004</v>
      </c>
    </row>
    <row r="39" spans="1:5" x14ac:dyDescent="0.2">
      <c r="A39" s="233" t="str">
        <f>'FY2020 Monthly Detail'!A112</f>
        <v>(5.4) Special Projects</v>
      </c>
      <c r="B39" s="234">
        <f>'FY2020 Monthly Overview'!B40</f>
        <v>12000</v>
      </c>
      <c r="C39" s="234">
        <f>'FY2020 Monthly Overview'!P40</f>
        <v>12000</v>
      </c>
      <c r="D39" s="235">
        <f>C39/B39</f>
        <v>1</v>
      </c>
      <c r="E39" s="236">
        <f>'FY2020 Monthly Overview'!Q40</f>
        <v>0</v>
      </c>
    </row>
    <row r="40" spans="1:5" x14ac:dyDescent="0.2">
      <c r="A40" s="254" t="s">
        <v>167</v>
      </c>
      <c r="B40" s="206">
        <f>'FY2020 Monthly Overview'!B41</f>
        <v>54250</v>
      </c>
      <c r="C40" s="206">
        <f>'FY2020 Monthly Overview'!P41</f>
        <v>42715.729999999996</v>
      </c>
      <c r="D40" s="255">
        <f>C40/B40</f>
        <v>0.78738672811059895</v>
      </c>
      <c r="E40" s="256">
        <f>'FY2020 Monthly Overview'!Q41</f>
        <v>11534.270000000004</v>
      </c>
    </row>
    <row r="41" spans="1:5" x14ac:dyDescent="0.2">
      <c r="A41" s="20"/>
      <c r="B41" s="4"/>
      <c r="C41" s="3"/>
      <c r="D41" s="240"/>
      <c r="E41" s="19"/>
    </row>
    <row r="42" spans="1:5" x14ac:dyDescent="0.2">
      <c r="A42" s="341" t="s">
        <v>131</v>
      </c>
      <c r="B42" s="342"/>
      <c r="C42" s="342"/>
      <c r="D42" s="342"/>
      <c r="E42" s="343"/>
    </row>
    <row r="43" spans="1:5" x14ac:dyDescent="0.2">
      <c r="A43" s="233" t="str">
        <f>'FY2020 Monthly Detail'!A122</f>
        <v>(6.1) Required Administrative</v>
      </c>
      <c r="B43" s="234">
        <f>'FY2020 Monthly Overview'!B44</f>
        <v>26070</v>
      </c>
      <c r="C43" s="234">
        <f>'FY2020 Monthly Overview'!P44</f>
        <v>16868.900000000001</v>
      </c>
      <c r="D43" s="235">
        <f>C43/B43</f>
        <v>0.64706175680859235</v>
      </c>
      <c r="E43" s="236">
        <f>'FY2020 Monthly Overview'!Q44</f>
        <v>9201.0999999999985</v>
      </c>
    </row>
    <row r="44" spans="1:5" x14ac:dyDescent="0.2">
      <c r="A44" s="257" t="s">
        <v>125</v>
      </c>
      <c r="B44" s="207">
        <f>'FY2020 Monthly Overview'!B45</f>
        <v>26070</v>
      </c>
      <c r="C44" s="207">
        <f>'FY2020 Monthly Overview'!P45</f>
        <v>16868.900000000001</v>
      </c>
      <c r="D44" s="258">
        <f>C44/B44</f>
        <v>0.64706175680859235</v>
      </c>
      <c r="E44" s="259">
        <f>'FY2020 Monthly Overview'!Q45</f>
        <v>9201.0999999999985</v>
      </c>
    </row>
    <row r="45" spans="1:5" x14ac:dyDescent="0.2">
      <c r="A45" s="20"/>
      <c r="B45" s="3"/>
      <c r="C45" s="3"/>
      <c r="D45" s="240"/>
      <c r="E45" s="19"/>
    </row>
    <row r="46" spans="1:5" x14ac:dyDescent="0.2">
      <c r="A46" s="260" t="s">
        <v>2116</v>
      </c>
      <c r="B46" s="261"/>
      <c r="C46" s="261">
        <f>'FY2020 Monthly Overview'!P47</f>
        <v>213835.37</v>
      </c>
      <c r="D46" s="262"/>
      <c r="E46" s="263"/>
    </row>
    <row r="47" spans="1:5" x14ac:dyDescent="0.2">
      <c r="A47" s="260" t="s">
        <v>2117</v>
      </c>
      <c r="B47" s="261"/>
      <c r="C47" s="261">
        <f>'FY2020 Monthly Overview'!P49</f>
        <v>211863.63</v>
      </c>
      <c r="D47" s="262"/>
      <c r="E47" s="263"/>
    </row>
    <row r="48" spans="1:5" ht="13.5" thickBot="1" x14ac:dyDescent="0.25">
      <c r="A48" s="264" t="s">
        <v>2132</v>
      </c>
      <c r="B48" s="265"/>
      <c r="C48" s="265">
        <f>'FY2020 Monthly Overview'!P51</f>
        <v>1971.7399999999907</v>
      </c>
      <c r="D48" s="266"/>
      <c r="E48" s="267"/>
    </row>
  </sheetData>
  <mergeCells count="11">
    <mergeCell ref="A3:E3"/>
    <mergeCell ref="A1:E2"/>
    <mergeCell ref="A5:E5"/>
    <mergeCell ref="A12:E12"/>
    <mergeCell ref="A19:E19"/>
    <mergeCell ref="A30:E30"/>
    <mergeCell ref="A35:E35"/>
    <mergeCell ref="A42:E42"/>
    <mergeCell ref="A17:E17"/>
    <mergeCell ref="A10:E10"/>
    <mergeCell ref="A25:E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5B6F1-8AA2-49A7-9D10-BA285AFB24D4}">
  <dimension ref="A1:F68"/>
  <sheetViews>
    <sheetView topLeftCell="A19" workbookViewId="0">
      <selection activeCell="C62" sqref="C62"/>
    </sheetView>
  </sheetViews>
  <sheetFormatPr defaultRowHeight="15" x14ac:dyDescent="0.25"/>
  <cols>
    <col min="1" max="1" width="10.7109375" style="36" customWidth="1"/>
    <col min="2" max="6" width="35.7109375" style="36" customWidth="1"/>
    <col min="7" max="16384" width="9.140625" style="36"/>
  </cols>
  <sheetData>
    <row r="1" spans="1:6" ht="16.5" x14ac:dyDescent="0.3">
      <c r="A1" s="91" t="s">
        <v>0</v>
      </c>
      <c r="B1" s="91" t="s">
        <v>1</v>
      </c>
      <c r="C1" s="91" t="s">
        <v>2</v>
      </c>
      <c r="D1" s="91" t="s">
        <v>3</v>
      </c>
      <c r="E1" s="91" t="s">
        <v>4</v>
      </c>
      <c r="F1" s="92" t="s">
        <v>5</v>
      </c>
    </row>
    <row r="2" spans="1:6" ht="15.75" x14ac:dyDescent="0.25">
      <c r="A2" s="35">
        <v>558921</v>
      </c>
      <c r="B2" s="35" t="s">
        <v>262</v>
      </c>
      <c r="C2" s="35" t="s">
        <v>222</v>
      </c>
      <c r="D2" s="35" t="s">
        <v>2466</v>
      </c>
      <c r="E2" s="35">
        <v>990</v>
      </c>
      <c r="F2" s="34">
        <v>43862</v>
      </c>
    </row>
    <row r="3" spans="1:6" ht="15.75" x14ac:dyDescent="0.25">
      <c r="A3" s="35">
        <v>526741</v>
      </c>
      <c r="B3" s="35" t="s">
        <v>23</v>
      </c>
      <c r="C3" s="35" t="s">
        <v>263</v>
      </c>
      <c r="D3" s="35" t="s">
        <v>2467</v>
      </c>
      <c r="E3" s="35">
        <v>3393.06</v>
      </c>
      <c r="F3" s="34">
        <v>43866</v>
      </c>
    </row>
    <row r="4" spans="1:6" ht="15.75" x14ac:dyDescent="0.25">
      <c r="A4" s="35">
        <v>526120</v>
      </c>
      <c r="B4" s="35" t="s">
        <v>217</v>
      </c>
      <c r="C4" s="35" t="s">
        <v>2468</v>
      </c>
      <c r="D4" s="35" t="s">
        <v>2469</v>
      </c>
      <c r="E4" s="35">
        <v>54.78</v>
      </c>
      <c r="F4" s="34">
        <v>43872</v>
      </c>
    </row>
    <row r="5" spans="1:6" ht="15.75" x14ac:dyDescent="0.25">
      <c r="A5" s="35">
        <v>526150</v>
      </c>
      <c r="B5" s="35" t="s">
        <v>258</v>
      </c>
      <c r="C5" s="35" t="s">
        <v>2468</v>
      </c>
      <c r="D5" s="35" t="s">
        <v>2469</v>
      </c>
      <c r="E5" s="35">
        <v>19.5</v>
      </c>
      <c r="F5" s="34">
        <v>43872</v>
      </c>
    </row>
    <row r="6" spans="1:6" ht="15.75" x14ac:dyDescent="0.25">
      <c r="A6" s="35">
        <v>487110</v>
      </c>
      <c r="B6" s="35" t="s">
        <v>36</v>
      </c>
      <c r="C6" s="35" t="s">
        <v>2470</v>
      </c>
      <c r="D6" s="35" t="s">
        <v>2471</v>
      </c>
      <c r="E6" s="35">
        <v>12267.06</v>
      </c>
      <c r="F6" s="34">
        <v>43873</v>
      </c>
    </row>
    <row r="7" spans="1:6" ht="15.75" x14ac:dyDescent="0.25">
      <c r="A7" s="35">
        <v>487110</v>
      </c>
      <c r="B7" s="35" t="s">
        <v>36</v>
      </c>
      <c r="C7" s="35" t="s">
        <v>2472</v>
      </c>
      <c r="D7" s="35" t="s">
        <v>2473</v>
      </c>
      <c r="E7" s="35">
        <v>13123.96</v>
      </c>
      <c r="F7" s="34">
        <v>43873</v>
      </c>
    </row>
    <row r="8" spans="1:6" ht="15.75" x14ac:dyDescent="0.25">
      <c r="A8" s="35">
        <v>487110</v>
      </c>
      <c r="B8" s="35" t="s">
        <v>36</v>
      </c>
      <c r="C8" s="35" t="s">
        <v>2474</v>
      </c>
      <c r="D8" s="35" t="s">
        <v>2475</v>
      </c>
      <c r="E8" s="35">
        <v>8065.72</v>
      </c>
      <c r="F8" s="34">
        <v>43874</v>
      </c>
    </row>
    <row r="9" spans="1:6" ht="15.75" x14ac:dyDescent="0.25">
      <c r="A9" s="35">
        <v>558921</v>
      </c>
      <c r="B9" s="35" t="s">
        <v>262</v>
      </c>
      <c r="C9" s="35" t="s">
        <v>2476</v>
      </c>
      <c r="D9" s="35" t="s">
        <v>2477</v>
      </c>
      <c r="E9" s="35">
        <v>825</v>
      </c>
      <c r="F9" s="34">
        <v>43875</v>
      </c>
    </row>
    <row r="10" spans="1:6" ht="15.75" x14ac:dyDescent="0.25">
      <c r="A10" s="35">
        <v>487110</v>
      </c>
      <c r="B10" s="35" t="s">
        <v>36</v>
      </c>
      <c r="C10" s="35" t="s">
        <v>2478</v>
      </c>
      <c r="D10" s="35" t="s">
        <v>2479</v>
      </c>
      <c r="E10" s="35">
        <v>11564.48</v>
      </c>
      <c r="F10" s="34">
        <v>43875</v>
      </c>
    </row>
    <row r="11" spans="1:6" ht="15.75" x14ac:dyDescent="0.25">
      <c r="A11" s="35">
        <v>487110</v>
      </c>
      <c r="B11" s="35" t="s">
        <v>36</v>
      </c>
      <c r="C11" s="35" t="s">
        <v>2480</v>
      </c>
      <c r="D11" s="35" t="s">
        <v>2481</v>
      </c>
      <c r="E11" s="35">
        <v>1477.26</v>
      </c>
      <c r="F11" s="34">
        <v>43875</v>
      </c>
    </row>
    <row r="12" spans="1:6" ht="15.75" x14ac:dyDescent="0.25">
      <c r="A12" s="35">
        <v>487110</v>
      </c>
      <c r="B12" s="35" t="s">
        <v>36</v>
      </c>
      <c r="C12" s="35" t="s">
        <v>2482</v>
      </c>
      <c r="D12" s="35" t="s">
        <v>2483</v>
      </c>
      <c r="E12" s="35">
        <v>2651</v>
      </c>
      <c r="F12" s="34">
        <v>43875</v>
      </c>
    </row>
    <row r="13" spans="1:6" ht="15.75" x14ac:dyDescent="0.25">
      <c r="A13" s="35">
        <v>526120</v>
      </c>
      <c r="B13" s="35" t="s">
        <v>217</v>
      </c>
      <c r="C13" s="35" t="s">
        <v>1158</v>
      </c>
      <c r="D13" s="35" t="s">
        <v>2484</v>
      </c>
      <c r="E13" s="35">
        <v>53.46</v>
      </c>
      <c r="F13" s="34">
        <v>43876</v>
      </c>
    </row>
    <row r="14" spans="1:6" ht="15.75" x14ac:dyDescent="0.25">
      <c r="A14" s="35">
        <v>526150</v>
      </c>
      <c r="B14" s="35" t="s">
        <v>258</v>
      </c>
      <c r="C14" s="35" t="s">
        <v>1158</v>
      </c>
      <c r="D14" s="35" t="s">
        <v>2484</v>
      </c>
      <c r="E14" s="35">
        <v>19.5</v>
      </c>
      <c r="F14" s="34">
        <v>43876</v>
      </c>
    </row>
    <row r="15" spans="1:6" ht="15.75" x14ac:dyDescent="0.25">
      <c r="A15" s="35">
        <v>587890</v>
      </c>
      <c r="B15" s="35" t="s">
        <v>32</v>
      </c>
      <c r="C15" s="35" t="s">
        <v>358</v>
      </c>
      <c r="D15" s="35" t="s">
        <v>2485</v>
      </c>
      <c r="E15" s="35">
        <v>363</v>
      </c>
      <c r="F15" s="34">
        <v>43878</v>
      </c>
    </row>
    <row r="16" spans="1:6" ht="15.75" x14ac:dyDescent="0.25">
      <c r="A16" s="35">
        <v>487110</v>
      </c>
      <c r="B16" s="35" t="s">
        <v>36</v>
      </c>
      <c r="C16" s="35" t="s">
        <v>2486</v>
      </c>
      <c r="D16" s="35" t="s">
        <v>2487</v>
      </c>
      <c r="E16" s="35">
        <v>14953.16</v>
      </c>
      <c r="F16" s="34">
        <v>43880</v>
      </c>
    </row>
    <row r="17" spans="1:6" ht="15.75" x14ac:dyDescent="0.25">
      <c r="A17" s="35">
        <v>487110</v>
      </c>
      <c r="B17" s="35" t="s">
        <v>36</v>
      </c>
      <c r="C17" s="35" t="s">
        <v>2488</v>
      </c>
      <c r="D17" s="35" t="s">
        <v>2489</v>
      </c>
      <c r="E17" s="35">
        <v>2997.08</v>
      </c>
      <c r="F17" s="34">
        <v>43880</v>
      </c>
    </row>
    <row r="18" spans="1:6" ht="15.75" x14ac:dyDescent="0.25">
      <c r="A18" s="35">
        <v>487110</v>
      </c>
      <c r="B18" s="35" t="s">
        <v>36</v>
      </c>
      <c r="C18" s="35" t="s">
        <v>2490</v>
      </c>
      <c r="D18" s="35" t="s">
        <v>2491</v>
      </c>
      <c r="E18" s="35">
        <v>4884.41</v>
      </c>
      <c r="F18" s="34">
        <v>43880</v>
      </c>
    </row>
    <row r="19" spans="1:6" ht="15.75" x14ac:dyDescent="0.25">
      <c r="A19" s="35">
        <v>558979</v>
      </c>
      <c r="B19" s="35" t="s">
        <v>150</v>
      </c>
      <c r="C19" s="35" t="s">
        <v>2236</v>
      </c>
      <c r="D19" s="35" t="s">
        <v>2492</v>
      </c>
      <c r="E19" s="35">
        <v>125</v>
      </c>
      <c r="F19" s="34">
        <v>43882</v>
      </c>
    </row>
    <row r="20" spans="1:6" ht="15.75" x14ac:dyDescent="0.25">
      <c r="A20" s="35">
        <v>558979</v>
      </c>
      <c r="B20" s="35" t="s">
        <v>150</v>
      </c>
      <c r="C20" s="35" t="s">
        <v>2208</v>
      </c>
      <c r="D20" s="35" t="s">
        <v>2493</v>
      </c>
      <c r="E20" s="35">
        <v>125</v>
      </c>
      <c r="F20" s="34">
        <v>43882</v>
      </c>
    </row>
    <row r="21" spans="1:6" ht="15.75" x14ac:dyDescent="0.25">
      <c r="A21" s="35">
        <v>558979</v>
      </c>
      <c r="B21" s="35" t="s">
        <v>150</v>
      </c>
      <c r="C21" s="35" t="s">
        <v>281</v>
      </c>
      <c r="D21" s="35" t="s">
        <v>2494</v>
      </c>
      <c r="E21" s="35">
        <v>650</v>
      </c>
      <c r="F21" s="34">
        <v>43882</v>
      </c>
    </row>
    <row r="22" spans="1:6" ht="15.75" x14ac:dyDescent="0.25">
      <c r="A22" s="35">
        <v>558979</v>
      </c>
      <c r="B22" s="35" t="s">
        <v>150</v>
      </c>
      <c r="C22" s="35" t="s">
        <v>2216</v>
      </c>
      <c r="D22" s="35" t="s">
        <v>2495</v>
      </c>
      <c r="E22" s="35">
        <v>125</v>
      </c>
      <c r="F22" s="34">
        <v>43882</v>
      </c>
    </row>
    <row r="23" spans="1:6" ht="15.75" x14ac:dyDescent="0.25">
      <c r="A23" s="35">
        <v>558979</v>
      </c>
      <c r="B23" s="35" t="s">
        <v>150</v>
      </c>
      <c r="C23" s="35" t="s">
        <v>2186</v>
      </c>
      <c r="D23" s="35" t="s">
        <v>2496</v>
      </c>
      <c r="E23" s="35">
        <v>125</v>
      </c>
      <c r="F23" s="34">
        <v>43882</v>
      </c>
    </row>
    <row r="24" spans="1:6" ht="15.75" x14ac:dyDescent="0.25">
      <c r="A24" s="35">
        <v>558979</v>
      </c>
      <c r="B24" s="35" t="s">
        <v>150</v>
      </c>
      <c r="C24" s="35" t="s">
        <v>2203</v>
      </c>
      <c r="D24" s="35" t="s">
        <v>2497</v>
      </c>
      <c r="E24" s="35">
        <v>125</v>
      </c>
      <c r="F24" s="34">
        <v>43882</v>
      </c>
    </row>
    <row r="25" spans="1:6" ht="15.75" x14ac:dyDescent="0.25">
      <c r="A25" s="35">
        <v>558979</v>
      </c>
      <c r="B25" s="35" t="s">
        <v>150</v>
      </c>
      <c r="C25" s="35" t="s">
        <v>1493</v>
      </c>
      <c r="D25" s="35" t="s">
        <v>2498</v>
      </c>
      <c r="E25" s="35">
        <v>200</v>
      </c>
      <c r="F25" s="34">
        <v>43882</v>
      </c>
    </row>
    <row r="26" spans="1:6" ht="15.75" x14ac:dyDescent="0.25">
      <c r="A26" s="35">
        <v>558979</v>
      </c>
      <c r="B26" s="35" t="s">
        <v>150</v>
      </c>
      <c r="C26" s="35" t="s">
        <v>2222</v>
      </c>
      <c r="D26" s="35" t="s">
        <v>2499</v>
      </c>
      <c r="E26" s="35">
        <v>125</v>
      </c>
      <c r="F26" s="34">
        <v>43882</v>
      </c>
    </row>
    <row r="27" spans="1:6" ht="15.75" x14ac:dyDescent="0.25">
      <c r="A27" s="35">
        <v>558979</v>
      </c>
      <c r="B27" s="35" t="s">
        <v>150</v>
      </c>
      <c r="C27" s="35" t="s">
        <v>2224</v>
      </c>
      <c r="D27" s="35" t="s">
        <v>2500</v>
      </c>
      <c r="E27" s="35">
        <v>125</v>
      </c>
      <c r="F27" s="34">
        <v>43882</v>
      </c>
    </row>
    <row r="28" spans="1:6" ht="15.75" x14ac:dyDescent="0.25">
      <c r="A28" s="35">
        <v>558979</v>
      </c>
      <c r="B28" s="35" t="s">
        <v>150</v>
      </c>
      <c r="C28" s="35" t="s">
        <v>1431</v>
      </c>
      <c r="D28" s="35" t="s">
        <v>2501</v>
      </c>
      <c r="E28" s="35">
        <v>200</v>
      </c>
      <c r="F28" s="34">
        <v>43882</v>
      </c>
    </row>
    <row r="29" spans="1:6" ht="15.75" x14ac:dyDescent="0.25">
      <c r="A29" s="35">
        <v>558979</v>
      </c>
      <c r="B29" s="35" t="s">
        <v>150</v>
      </c>
      <c r="C29" s="35" t="s">
        <v>2163</v>
      </c>
      <c r="D29" s="35" t="s">
        <v>2502</v>
      </c>
      <c r="E29" s="35">
        <v>125</v>
      </c>
      <c r="F29" s="34">
        <v>43882</v>
      </c>
    </row>
    <row r="30" spans="1:6" ht="15.75" x14ac:dyDescent="0.25">
      <c r="A30" s="35">
        <v>558979</v>
      </c>
      <c r="B30" s="35" t="s">
        <v>150</v>
      </c>
      <c r="C30" s="35" t="s">
        <v>2157</v>
      </c>
      <c r="D30" s="35" t="s">
        <v>2503</v>
      </c>
      <c r="E30" s="35">
        <v>125</v>
      </c>
      <c r="F30" s="34">
        <v>43882</v>
      </c>
    </row>
    <row r="31" spans="1:6" ht="15.75" x14ac:dyDescent="0.25">
      <c r="A31" s="35">
        <v>558979</v>
      </c>
      <c r="B31" s="35" t="s">
        <v>150</v>
      </c>
      <c r="C31" s="35" t="s">
        <v>2233</v>
      </c>
      <c r="D31" s="35" t="s">
        <v>2504</v>
      </c>
      <c r="E31" s="35">
        <v>125</v>
      </c>
      <c r="F31" s="34">
        <v>43882</v>
      </c>
    </row>
    <row r="32" spans="1:6" ht="15.75" x14ac:dyDescent="0.25">
      <c r="A32" s="35">
        <v>558979</v>
      </c>
      <c r="B32" s="35" t="s">
        <v>150</v>
      </c>
      <c r="C32" s="35" t="s">
        <v>1304</v>
      </c>
      <c r="D32" s="35" t="s">
        <v>2505</v>
      </c>
      <c r="E32" s="35">
        <v>400</v>
      </c>
      <c r="F32" s="34">
        <v>43882</v>
      </c>
    </row>
    <row r="33" spans="1:6" ht="15.75" x14ac:dyDescent="0.25">
      <c r="A33" s="35">
        <v>558979</v>
      </c>
      <c r="B33" s="35" t="s">
        <v>150</v>
      </c>
      <c r="C33" s="35" t="s">
        <v>2206</v>
      </c>
      <c r="D33" s="35" t="s">
        <v>2506</v>
      </c>
      <c r="E33" s="35">
        <v>125</v>
      </c>
      <c r="F33" s="34">
        <v>43882</v>
      </c>
    </row>
    <row r="34" spans="1:6" ht="15.75" x14ac:dyDescent="0.25">
      <c r="A34" s="35">
        <v>558979</v>
      </c>
      <c r="B34" s="35" t="s">
        <v>150</v>
      </c>
      <c r="C34" s="35" t="s">
        <v>2214</v>
      </c>
      <c r="D34" s="35" t="s">
        <v>2507</v>
      </c>
      <c r="E34" s="35">
        <v>125</v>
      </c>
      <c r="F34" s="34">
        <v>43882</v>
      </c>
    </row>
    <row r="35" spans="1:6" ht="15.75" x14ac:dyDescent="0.25">
      <c r="A35" s="35">
        <v>558979</v>
      </c>
      <c r="B35" s="35" t="s">
        <v>150</v>
      </c>
      <c r="C35" s="35" t="s">
        <v>2447</v>
      </c>
      <c r="D35" s="35" t="s">
        <v>2508</v>
      </c>
      <c r="E35" s="35">
        <v>200</v>
      </c>
      <c r="F35" s="34">
        <v>43882</v>
      </c>
    </row>
    <row r="36" spans="1:6" ht="15.75" x14ac:dyDescent="0.25">
      <c r="A36" s="35">
        <v>558979</v>
      </c>
      <c r="B36" s="35" t="s">
        <v>150</v>
      </c>
      <c r="C36" s="35" t="s">
        <v>2229</v>
      </c>
      <c r="D36" s="35" t="s">
        <v>2509</v>
      </c>
      <c r="E36" s="35">
        <v>125</v>
      </c>
      <c r="F36" s="34">
        <v>43882</v>
      </c>
    </row>
    <row r="37" spans="1:6" ht="15.75" x14ac:dyDescent="0.25">
      <c r="A37" s="35">
        <v>558979</v>
      </c>
      <c r="B37" s="35" t="s">
        <v>150</v>
      </c>
      <c r="C37" s="35" t="s">
        <v>15</v>
      </c>
      <c r="D37" s="35" t="s">
        <v>2510</v>
      </c>
      <c r="E37" s="35">
        <v>200</v>
      </c>
      <c r="F37" s="34">
        <v>43882</v>
      </c>
    </row>
    <row r="38" spans="1:6" ht="15.75" x14ac:dyDescent="0.25">
      <c r="A38" s="35">
        <v>558979</v>
      </c>
      <c r="B38" s="35" t="s">
        <v>150</v>
      </c>
      <c r="C38" s="35" t="s">
        <v>2511</v>
      </c>
      <c r="D38" s="35" t="s">
        <v>2512</v>
      </c>
      <c r="E38" s="35">
        <v>125</v>
      </c>
      <c r="F38" s="34">
        <v>43882</v>
      </c>
    </row>
    <row r="39" spans="1:6" ht="15.75" x14ac:dyDescent="0.25">
      <c r="A39" s="35">
        <v>558979</v>
      </c>
      <c r="B39" s="35" t="s">
        <v>150</v>
      </c>
      <c r="C39" s="35" t="s">
        <v>2220</v>
      </c>
      <c r="D39" s="35" t="s">
        <v>2513</v>
      </c>
      <c r="E39" s="35">
        <v>125</v>
      </c>
      <c r="F39" s="34">
        <v>43882</v>
      </c>
    </row>
    <row r="40" spans="1:6" ht="15.75" x14ac:dyDescent="0.25">
      <c r="A40" s="35">
        <v>558979</v>
      </c>
      <c r="B40" s="35" t="s">
        <v>150</v>
      </c>
      <c r="C40" s="35" t="s">
        <v>2002</v>
      </c>
      <c r="D40" s="35" t="s">
        <v>2514</v>
      </c>
      <c r="E40" s="35">
        <v>225</v>
      </c>
      <c r="F40" s="34">
        <v>43882</v>
      </c>
    </row>
    <row r="41" spans="1:6" ht="15.75" x14ac:dyDescent="0.25">
      <c r="A41" s="35">
        <v>558979</v>
      </c>
      <c r="B41" s="35" t="s">
        <v>150</v>
      </c>
      <c r="C41" s="35" t="s">
        <v>1410</v>
      </c>
      <c r="D41" s="35" t="s">
        <v>2515</v>
      </c>
      <c r="E41" s="35">
        <v>200</v>
      </c>
      <c r="F41" s="34">
        <v>43882</v>
      </c>
    </row>
    <row r="42" spans="1:6" ht="15.75" x14ac:dyDescent="0.25">
      <c r="A42" s="35">
        <v>558979</v>
      </c>
      <c r="B42" s="35" t="s">
        <v>150</v>
      </c>
      <c r="C42" s="35" t="s">
        <v>21</v>
      </c>
      <c r="D42" s="35" t="s">
        <v>2516</v>
      </c>
      <c r="E42" s="35">
        <v>200</v>
      </c>
      <c r="F42" s="34">
        <v>43882</v>
      </c>
    </row>
    <row r="43" spans="1:6" ht="15.75" x14ac:dyDescent="0.25">
      <c r="A43" s="35">
        <v>558979</v>
      </c>
      <c r="B43" s="35" t="s">
        <v>150</v>
      </c>
      <c r="C43" s="35" t="s">
        <v>2211</v>
      </c>
      <c r="D43" s="35" t="s">
        <v>2517</v>
      </c>
      <c r="E43" s="35">
        <v>125</v>
      </c>
      <c r="F43" s="34">
        <v>43882</v>
      </c>
    </row>
    <row r="44" spans="1:6" ht="15.75" x14ac:dyDescent="0.25">
      <c r="A44" s="35">
        <v>558979</v>
      </c>
      <c r="B44" s="35" t="s">
        <v>150</v>
      </c>
      <c r="C44" s="35" t="s">
        <v>2227</v>
      </c>
      <c r="D44" s="35" t="s">
        <v>2518</v>
      </c>
      <c r="E44" s="35">
        <v>125</v>
      </c>
      <c r="F44" s="34">
        <v>43882</v>
      </c>
    </row>
    <row r="45" spans="1:6" ht="15.75" x14ac:dyDescent="0.25">
      <c r="A45" s="35">
        <v>526712</v>
      </c>
      <c r="B45" s="35" t="s">
        <v>14</v>
      </c>
      <c r="C45" s="35" t="s">
        <v>281</v>
      </c>
      <c r="D45" s="35" t="s">
        <v>2519</v>
      </c>
      <c r="E45" s="35">
        <v>28.76</v>
      </c>
      <c r="F45" s="34">
        <v>43885</v>
      </c>
    </row>
    <row r="46" spans="1:6" ht="15.75" x14ac:dyDescent="0.25">
      <c r="A46" s="35">
        <v>587890</v>
      </c>
      <c r="B46" s="35" t="s">
        <v>32</v>
      </c>
      <c r="C46" s="35" t="s">
        <v>348</v>
      </c>
      <c r="D46" s="35" t="s">
        <v>2520</v>
      </c>
      <c r="E46" s="35">
        <v>371.37</v>
      </c>
      <c r="F46" s="34">
        <v>43885</v>
      </c>
    </row>
    <row r="47" spans="1:6" ht="15.75" x14ac:dyDescent="0.25">
      <c r="A47" s="35">
        <v>587890</v>
      </c>
      <c r="B47" s="35" t="s">
        <v>32</v>
      </c>
      <c r="C47" s="35" t="s">
        <v>801</v>
      </c>
      <c r="D47" s="35" t="s">
        <v>2521</v>
      </c>
      <c r="E47" s="35">
        <v>432.04</v>
      </c>
      <c r="F47" s="34">
        <v>43885</v>
      </c>
    </row>
    <row r="48" spans="1:6" ht="15.75" x14ac:dyDescent="0.25">
      <c r="A48" s="35">
        <v>526712</v>
      </c>
      <c r="B48" s="35" t="s">
        <v>14</v>
      </c>
      <c r="C48" s="35" t="s">
        <v>2261</v>
      </c>
      <c r="D48" s="35" t="s">
        <v>2522</v>
      </c>
      <c r="E48" s="35">
        <v>60.72</v>
      </c>
      <c r="F48" s="34">
        <v>43886</v>
      </c>
    </row>
    <row r="49" spans="1:6" ht="15.75" x14ac:dyDescent="0.25">
      <c r="A49" s="35">
        <v>526712</v>
      </c>
      <c r="B49" s="35" t="s">
        <v>14</v>
      </c>
      <c r="C49" s="35" t="s">
        <v>1486</v>
      </c>
      <c r="D49" s="35" t="s">
        <v>2523</v>
      </c>
      <c r="E49" s="35">
        <v>73.92</v>
      </c>
      <c r="F49" s="34">
        <v>43886</v>
      </c>
    </row>
    <row r="50" spans="1:6" ht="15.75" x14ac:dyDescent="0.25">
      <c r="A50" s="35">
        <v>526712</v>
      </c>
      <c r="B50" s="35" t="s">
        <v>14</v>
      </c>
      <c r="C50" s="35" t="s">
        <v>2002</v>
      </c>
      <c r="D50" s="35" t="s">
        <v>2524</v>
      </c>
      <c r="E50" s="35">
        <v>84.48</v>
      </c>
      <c r="F50" s="34">
        <v>43886</v>
      </c>
    </row>
    <row r="51" spans="1:6" ht="15.75" x14ac:dyDescent="0.25">
      <c r="A51" s="35">
        <v>526712</v>
      </c>
      <c r="B51" s="35" t="s">
        <v>14</v>
      </c>
      <c r="C51" s="35" t="s">
        <v>15</v>
      </c>
      <c r="D51" s="35" t="s">
        <v>2525</v>
      </c>
      <c r="E51" s="35">
        <v>100.32</v>
      </c>
      <c r="F51" s="34">
        <v>43886</v>
      </c>
    </row>
    <row r="52" spans="1:6" ht="15.75" x14ac:dyDescent="0.25">
      <c r="A52" s="35">
        <v>526712</v>
      </c>
      <c r="B52" s="35" t="s">
        <v>14</v>
      </c>
      <c r="C52" s="35" t="s">
        <v>1304</v>
      </c>
      <c r="D52" s="35" t="s">
        <v>2526</v>
      </c>
      <c r="E52" s="35">
        <v>99.34</v>
      </c>
      <c r="F52" s="34">
        <v>43886</v>
      </c>
    </row>
    <row r="53" spans="1:6" ht="15.75" x14ac:dyDescent="0.25">
      <c r="A53" s="35">
        <v>526712</v>
      </c>
      <c r="B53" s="35" t="s">
        <v>14</v>
      </c>
      <c r="C53" s="35" t="s">
        <v>2039</v>
      </c>
      <c r="D53" s="35" t="s">
        <v>2527</v>
      </c>
      <c r="E53" s="35">
        <v>249.48</v>
      </c>
      <c r="F53" s="34">
        <v>43886</v>
      </c>
    </row>
    <row r="54" spans="1:6" ht="15.75" x14ac:dyDescent="0.25">
      <c r="A54" s="35">
        <v>526712</v>
      </c>
      <c r="B54" s="35" t="s">
        <v>14</v>
      </c>
      <c r="C54" s="35" t="s">
        <v>1431</v>
      </c>
      <c r="D54" s="35" t="s">
        <v>2528</v>
      </c>
      <c r="E54" s="35">
        <v>84.48</v>
      </c>
      <c r="F54" s="34">
        <v>43886</v>
      </c>
    </row>
    <row r="55" spans="1:6" ht="15.75" x14ac:dyDescent="0.25">
      <c r="A55" s="35">
        <v>526712</v>
      </c>
      <c r="B55" s="35" t="s">
        <v>14</v>
      </c>
      <c r="C55" s="35" t="s">
        <v>2313</v>
      </c>
      <c r="D55" s="35" t="s">
        <v>2529</v>
      </c>
      <c r="E55" s="35">
        <v>153.12</v>
      </c>
      <c r="F55" s="34">
        <v>43886</v>
      </c>
    </row>
    <row r="56" spans="1:6" ht="15.75" x14ac:dyDescent="0.25">
      <c r="A56" s="35">
        <v>526712</v>
      </c>
      <c r="B56" s="35" t="s">
        <v>14</v>
      </c>
      <c r="C56" s="35" t="s">
        <v>19</v>
      </c>
      <c r="D56" s="35" t="s">
        <v>2530</v>
      </c>
      <c r="E56" s="35">
        <v>132.66</v>
      </c>
      <c r="F56" s="34">
        <v>43886</v>
      </c>
    </row>
    <row r="57" spans="1:6" ht="15.75" x14ac:dyDescent="0.25">
      <c r="A57" s="35">
        <v>526712</v>
      </c>
      <c r="B57" s="35" t="s">
        <v>14</v>
      </c>
      <c r="C57" s="35" t="s">
        <v>2531</v>
      </c>
      <c r="D57" s="35" t="s">
        <v>2532</v>
      </c>
      <c r="E57" s="35">
        <v>266.64</v>
      </c>
      <c r="F57" s="34">
        <v>43886</v>
      </c>
    </row>
    <row r="58" spans="1:6" ht="15.75" x14ac:dyDescent="0.25">
      <c r="A58" s="35">
        <v>526712</v>
      </c>
      <c r="B58" s="35" t="s">
        <v>14</v>
      </c>
      <c r="C58" s="35" t="s">
        <v>2157</v>
      </c>
      <c r="D58" s="35" t="s">
        <v>2533</v>
      </c>
      <c r="E58" s="35">
        <v>139.91999999999999</v>
      </c>
      <c r="F58" s="34">
        <v>43886</v>
      </c>
    </row>
    <row r="59" spans="1:6" ht="15.75" x14ac:dyDescent="0.25">
      <c r="A59" s="35">
        <v>526712</v>
      </c>
      <c r="B59" s="35" t="s">
        <v>14</v>
      </c>
      <c r="C59" s="35" t="s">
        <v>281</v>
      </c>
      <c r="D59" s="35" t="s">
        <v>2534</v>
      </c>
      <c r="E59" s="35">
        <v>84.48</v>
      </c>
      <c r="F59" s="34">
        <v>43886</v>
      </c>
    </row>
    <row r="60" spans="1:6" ht="15.75" x14ac:dyDescent="0.25">
      <c r="A60" s="35">
        <v>487110</v>
      </c>
      <c r="B60" s="35" t="s">
        <v>36</v>
      </c>
      <c r="C60" s="35" t="s">
        <v>2535</v>
      </c>
      <c r="D60" s="35" t="s">
        <v>2536</v>
      </c>
      <c r="E60" s="35">
        <v>5728.32</v>
      </c>
      <c r="F60" s="34">
        <v>43886</v>
      </c>
    </row>
    <row r="61" spans="1:6" ht="15.75" x14ac:dyDescent="0.25">
      <c r="A61" s="35">
        <v>487110</v>
      </c>
      <c r="B61" s="35" t="s">
        <v>36</v>
      </c>
      <c r="C61" s="35" t="s">
        <v>2537</v>
      </c>
      <c r="D61" s="35" t="s">
        <v>2538</v>
      </c>
      <c r="E61" s="35">
        <v>2224.34</v>
      </c>
      <c r="F61" s="34">
        <v>43886</v>
      </c>
    </row>
    <row r="62" spans="1:6" ht="15.75" x14ac:dyDescent="0.25">
      <c r="A62" s="35">
        <v>511120</v>
      </c>
      <c r="B62" s="35" t="s">
        <v>6</v>
      </c>
      <c r="C62" s="35" t="s">
        <v>7</v>
      </c>
      <c r="D62" s="35" t="s">
        <v>2539</v>
      </c>
      <c r="E62" s="35">
        <v>4416.6400000000003</v>
      </c>
      <c r="F62" s="34">
        <v>43889</v>
      </c>
    </row>
    <row r="63" spans="1:6" ht="15.75" x14ac:dyDescent="0.25">
      <c r="A63" s="35">
        <v>515120</v>
      </c>
      <c r="B63" s="35" t="s">
        <v>9</v>
      </c>
      <c r="C63" s="35" t="s">
        <v>7</v>
      </c>
      <c r="D63" s="35" t="s">
        <v>2539</v>
      </c>
      <c r="E63" s="35">
        <v>269.29000000000002</v>
      </c>
      <c r="F63" s="34">
        <v>43889</v>
      </c>
    </row>
    <row r="64" spans="1:6" ht="15.75" x14ac:dyDescent="0.25">
      <c r="A64" s="35">
        <v>515130</v>
      </c>
      <c r="B64" s="35" t="s">
        <v>10</v>
      </c>
      <c r="C64" s="35" t="s">
        <v>7</v>
      </c>
      <c r="D64" s="35" t="s">
        <v>2539</v>
      </c>
      <c r="E64" s="35">
        <v>62.98</v>
      </c>
      <c r="F64" s="34">
        <v>43889</v>
      </c>
    </row>
    <row r="65" spans="1:6" ht="15.75" x14ac:dyDescent="0.25">
      <c r="A65" s="35">
        <v>515410</v>
      </c>
      <c r="B65" s="35" t="s">
        <v>11</v>
      </c>
      <c r="C65" s="35" t="s">
        <v>7</v>
      </c>
      <c r="D65" s="35" t="s">
        <v>2539</v>
      </c>
      <c r="E65" s="35">
        <v>302.10000000000002</v>
      </c>
      <c r="F65" s="34">
        <v>43889</v>
      </c>
    </row>
    <row r="66" spans="1:6" ht="15.75" x14ac:dyDescent="0.25">
      <c r="A66" s="35">
        <v>515420</v>
      </c>
      <c r="B66" s="35" t="s">
        <v>12</v>
      </c>
      <c r="C66" s="35" t="s">
        <v>7</v>
      </c>
      <c r="D66" s="35" t="s">
        <v>2539</v>
      </c>
      <c r="E66" s="35">
        <v>290.17</v>
      </c>
      <c r="F66" s="34">
        <v>43889</v>
      </c>
    </row>
    <row r="67" spans="1:6" ht="15.75" x14ac:dyDescent="0.25">
      <c r="A67" s="35">
        <v>515530</v>
      </c>
      <c r="B67" s="35" t="s">
        <v>13</v>
      </c>
      <c r="C67" s="35" t="s">
        <v>7</v>
      </c>
      <c r="D67" s="35" t="s">
        <v>2539</v>
      </c>
      <c r="E67" s="35">
        <v>357.49</v>
      </c>
      <c r="F67" s="34">
        <v>43889</v>
      </c>
    </row>
    <row r="68" spans="1:6" ht="15.75" x14ac:dyDescent="0.25">
      <c r="A68" s="35">
        <v>431210</v>
      </c>
      <c r="B68" s="35" t="s">
        <v>33</v>
      </c>
      <c r="C68" s="35" t="s">
        <v>2540</v>
      </c>
      <c r="D68" s="35" t="s">
        <v>2541</v>
      </c>
      <c r="E68" s="35">
        <v>425.72</v>
      </c>
      <c r="F68" s="34">
        <v>43889</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5A9C8-4B3A-4E7A-B3FD-2CF067897331}">
  <dimension ref="A1:G138"/>
  <sheetViews>
    <sheetView topLeftCell="A10" workbookViewId="0">
      <selection activeCell="D34" sqref="D34"/>
    </sheetView>
  </sheetViews>
  <sheetFormatPr defaultRowHeight="15" x14ac:dyDescent="0.25"/>
  <cols>
    <col min="1" max="1" width="3.28515625" style="36" customWidth="1"/>
    <col min="2" max="6" width="40.7109375" style="36" customWidth="1"/>
    <col min="7" max="7" width="3.28515625" style="36" customWidth="1"/>
    <col min="8" max="16384" width="9.140625" style="36"/>
  </cols>
  <sheetData>
    <row r="1" spans="1:7" ht="15.75" thickBot="1" x14ac:dyDescent="0.3">
      <c r="A1" s="371" t="b">
        <f>IF(($E$129+$E$130)=(SUM('FY2020 January Transactions'!E:E)),TRUE,FALSE)</f>
        <v>1</v>
      </c>
      <c r="B1" s="372"/>
      <c r="C1" s="372"/>
      <c r="D1" s="372"/>
      <c r="E1" s="372"/>
      <c r="F1" s="372"/>
      <c r="G1" s="373"/>
    </row>
    <row r="2" spans="1:7" ht="26.25" customHeight="1" x14ac:dyDescent="0.25">
      <c r="A2" s="374" t="b">
        <f>IF(($E$129+$E$130)=(SUM('FY2020 January Transactions'!E:E)),TRUE,FALSE)</f>
        <v>1</v>
      </c>
      <c r="B2" s="350" t="s">
        <v>2455</v>
      </c>
      <c r="C2" s="351"/>
      <c r="D2" s="351"/>
      <c r="E2" s="351"/>
      <c r="F2" s="352"/>
      <c r="G2" s="374" t="b">
        <f>IF(($E$129+$E$130)=(SUM('FY2020 January Transactions'!E:E)),TRUE,FALSE)</f>
        <v>1</v>
      </c>
    </row>
    <row r="3" spans="1:7" ht="26.25" customHeight="1" x14ac:dyDescent="0.25">
      <c r="A3" s="374"/>
      <c r="B3" s="353"/>
      <c r="C3" s="354"/>
      <c r="D3" s="354"/>
      <c r="E3" s="354"/>
      <c r="F3" s="355"/>
      <c r="G3" s="374"/>
    </row>
    <row r="4" spans="1:7" ht="15.75" x14ac:dyDescent="0.25">
      <c r="A4" s="374"/>
      <c r="B4" s="322" t="s">
        <v>53</v>
      </c>
      <c r="C4" s="323" t="s">
        <v>54</v>
      </c>
      <c r="D4" s="323" t="s">
        <v>2111</v>
      </c>
      <c r="E4" s="323" t="s">
        <v>168</v>
      </c>
      <c r="F4" s="324" t="s">
        <v>2112</v>
      </c>
      <c r="G4" s="374"/>
    </row>
    <row r="5" spans="1:7" ht="15.75" x14ac:dyDescent="0.25">
      <c r="A5" s="374"/>
      <c r="B5" s="11"/>
      <c r="C5" s="1"/>
      <c r="D5" s="1"/>
      <c r="E5" s="1"/>
      <c r="F5" s="12"/>
      <c r="G5" s="374"/>
    </row>
    <row r="6" spans="1:7" ht="15.75" x14ac:dyDescent="0.25">
      <c r="A6" s="374"/>
      <c r="B6" s="344" t="s">
        <v>1979</v>
      </c>
      <c r="C6" s="345"/>
      <c r="D6" s="345"/>
      <c r="E6" s="345"/>
      <c r="F6" s="346"/>
      <c r="G6" s="374"/>
    </row>
    <row r="7" spans="1:7" ht="15.75" x14ac:dyDescent="0.25">
      <c r="A7" s="374"/>
      <c r="B7" s="11"/>
      <c r="C7" s="1"/>
      <c r="D7" s="1"/>
      <c r="E7" s="1"/>
      <c r="F7" s="12"/>
      <c r="G7" s="374"/>
    </row>
    <row r="8" spans="1:7" x14ac:dyDescent="0.25">
      <c r="A8" s="374"/>
      <c r="B8" s="80" t="s">
        <v>132</v>
      </c>
      <c r="C8" s="81"/>
      <c r="D8" s="81"/>
      <c r="E8" s="81"/>
      <c r="F8" s="82"/>
      <c r="G8" s="374"/>
    </row>
    <row r="9" spans="1:7" ht="15.75" x14ac:dyDescent="0.25">
      <c r="A9" s="374"/>
      <c r="B9" s="11"/>
      <c r="C9" s="1"/>
      <c r="D9" s="1"/>
      <c r="E9" s="1"/>
      <c r="F9" s="12"/>
      <c r="G9" s="374"/>
    </row>
    <row r="10" spans="1:7" x14ac:dyDescent="0.25">
      <c r="A10" s="374"/>
      <c r="B10" s="13" t="s">
        <v>133</v>
      </c>
      <c r="C10" s="2"/>
      <c r="D10" s="2"/>
      <c r="E10" s="2"/>
      <c r="F10" s="14"/>
      <c r="G10" s="374"/>
    </row>
    <row r="11" spans="1:7" ht="15.75" x14ac:dyDescent="0.25">
      <c r="A11" s="374"/>
      <c r="B11" s="11"/>
      <c r="C11" s="3" t="s">
        <v>134</v>
      </c>
      <c r="D11" s="4">
        <f>'FY2020 December Account'!F11</f>
        <v>252265</v>
      </c>
      <c r="E11" s="4">
        <f>E131</f>
        <v>-12695.67</v>
      </c>
      <c r="F11" s="15">
        <f>(D11+E11)</f>
        <v>239569.33</v>
      </c>
      <c r="G11" s="374"/>
    </row>
    <row r="12" spans="1:7" x14ac:dyDescent="0.25">
      <c r="A12" s="374"/>
      <c r="B12" s="16" t="s">
        <v>136</v>
      </c>
      <c r="C12" s="2"/>
      <c r="D12" s="5">
        <f>'FY2020 December Account'!F12</f>
        <v>252265</v>
      </c>
      <c r="E12" s="5">
        <f>SUM(E11:E11)</f>
        <v>-12695.67</v>
      </c>
      <c r="F12" s="17">
        <f>(D12+E12)</f>
        <v>239569.33</v>
      </c>
      <c r="G12" s="374"/>
    </row>
    <row r="13" spans="1:7" ht="15.75" x14ac:dyDescent="0.25">
      <c r="A13" s="374"/>
      <c r="B13" s="11"/>
      <c r="C13" s="1"/>
      <c r="D13" s="1"/>
      <c r="E13" s="1"/>
      <c r="F13" s="12"/>
      <c r="G13" s="374"/>
    </row>
    <row r="14" spans="1:7" x14ac:dyDescent="0.25">
      <c r="A14" s="374"/>
      <c r="B14" s="13" t="s">
        <v>139</v>
      </c>
      <c r="C14" s="2"/>
      <c r="D14" s="2"/>
      <c r="E14" s="2"/>
      <c r="F14" s="14"/>
      <c r="G14" s="374"/>
    </row>
    <row r="15" spans="1:7" ht="15.75" x14ac:dyDescent="0.25">
      <c r="A15" s="374"/>
      <c r="B15" s="11"/>
      <c r="C15" s="3" t="s">
        <v>135</v>
      </c>
      <c r="D15" s="4">
        <f>'FY2020 December Account'!F15</f>
        <v>452.02</v>
      </c>
      <c r="E15" s="4">
        <f>E75</f>
        <v>0</v>
      </c>
      <c r="F15" s="15">
        <f>(D15+E15)</f>
        <v>452.02</v>
      </c>
      <c r="G15" s="374"/>
    </row>
    <row r="16" spans="1:7" ht="15.75" x14ac:dyDescent="0.25">
      <c r="A16" s="374"/>
      <c r="B16" s="11"/>
      <c r="C16" s="3" t="s">
        <v>140</v>
      </c>
      <c r="D16" s="4">
        <f>'FY2020 December Account'!F16</f>
        <v>0</v>
      </c>
      <c r="E16" s="4">
        <v>0</v>
      </c>
      <c r="F16" s="15">
        <f>(D16+E16)</f>
        <v>0</v>
      </c>
      <c r="G16" s="374"/>
    </row>
    <row r="17" spans="1:7" x14ac:dyDescent="0.25">
      <c r="A17" s="374"/>
      <c r="B17" s="16" t="s">
        <v>137</v>
      </c>
      <c r="C17" s="2"/>
      <c r="D17" s="5">
        <f>'FY2020 December Account'!F17</f>
        <v>452.02</v>
      </c>
      <c r="E17" s="5">
        <f>SUM(E15:E16)</f>
        <v>0</v>
      </c>
      <c r="F17" s="17">
        <f>(D17+E17)</f>
        <v>452.02</v>
      </c>
      <c r="G17" s="374"/>
    </row>
    <row r="18" spans="1:7" ht="15.75" x14ac:dyDescent="0.25">
      <c r="A18" s="374"/>
      <c r="B18" s="11"/>
      <c r="C18" s="1"/>
      <c r="D18" s="1"/>
      <c r="E18" s="1"/>
      <c r="F18" s="12"/>
      <c r="G18" s="374"/>
    </row>
    <row r="19" spans="1:7" x14ac:dyDescent="0.25">
      <c r="A19" s="374"/>
      <c r="B19" s="83" t="s">
        <v>138</v>
      </c>
      <c r="C19" s="84"/>
      <c r="D19" s="85">
        <f>'FY2020 December Account'!F19</f>
        <v>252717.02</v>
      </c>
      <c r="E19" s="85">
        <f>SUM(E12,E17)</f>
        <v>-12695.67</v>
      </c>
      <c r="F19" s="86">
        <f>(D19+E19)</f>
        <v>240021.34999999998</v>
      </c>
      <c r="G19" s="374"/>
    </row>
    <row r="20" spans="1:7" ht="15.75" x14ac:dyDescent="0.25">
      <c r="A20" s="374"/>
      <c r="B20" s="11"/>
      <c r="C20" s="1"/>
      <c r="D20" s="1"/>
      <c r="E20" s="1"/>
      <c r="F20" s="12"/>
      <c r="G20" s="374"/>
    </row>
    <row r="21" spans="1:7" x14ac:dyDescent="0.25">
      <c r="A21" s="374"/>
      <c r="B21" s="73" t="s">
        <v>55</v>
      </c>
      <c r="C21" s="74"/>
      <c r="D21" s="74"/>
      <c r="E21" s="74"/>
      <c r="F21" s="75"/>
      <c r="G21" s="374"/>
    </row>
    <row r="22" spans="1:7" ht="15.75" x14ac:dyDescent="0.25">
      <c r="A22" s="374"/>
      <c r="B22" s="11"/>
      <c r="C22" s="1"/>
      <c r="D22" s="1"/>
      <c r="E22" s="1"/>
      <c r="F22" s="12"/>
      <c r="G22" s="374"/>
    </row>
    <row r="23" spans="1:7" x14ac:dyDescent="0.25">
      <c r="A23" s="374"/>
      <c r="B23" s="13" t="s">
        <v>56</v>
      </c>
      <c r="C23" s="2"/>
      <c r="D23" s="2"/>
      <c r="E23" s="2"/>
      <c r="F23" s="14"/>
      <c r="G23" s="374"/>
    </row>
    <row r="24" spans="1:7" ht="15.75" x14ac:dyDescent="0.25">
      <c r="A24" s="374"/>
      <c r="B24" s="11"/>
      <c r="C24" s="3" t="s">
        <v>57</v>
      </c>
      <c r="D24" s="4">
        <f>'FY2020 December Account'!F24</f>
        <v>124998.51000000001</v>
      </c>
      <c r="E24" s="4">
        <f>SUMIFS(TraFY2020Jan[[ Amount]],TraFY2020Jan[[ Acct Desc]], "Transfer In*") + SUMIFS(TraFY2020Jan[[ Amount]],TraFY2020Jan[[ Acct Desc]], "ASG FEE*")</f>
        <v>0</v>
      </c>
      <c r="F24" s="15">
        <f>(D24+E24)</f>
        <v>124998.51000000001</v>
      </c>
      <c r="G24" s="374"/>
    </row>
    <row r="25" spans="1:7" ht="15.75" x14ac:dyDescent="0.25">
      <c r="A25" s="374"/>
      <c r="B25" s="11"/>
      <c r="C25" s="3" t="s">
        <v>129</v>
      </c>
      <c r="D25" s="4">
        <f>'FY2020 December Account'!F25</f>
        <v>2033.0200000000002</v>
      </c>
      <c r="E25" s="4">
        <f>SUMIFS(TraFY2020Jan[[ Amount]],TraFY2020Jan[[ Acct Desc]], "*Income*")</f>
        <v>390.65</v>
      </c>
      <c r="F25" s="15">
        <f>(D25+E25)</f>
        <v>2423.67</v>
      </c>
      <c r="G25" s="374"/>
    </row>
    <row r="26" spans="1:7" ht="15.75" x14ac:dyDescent="0.25">
      <c r="A26" s="374"/>
      <c r="B26" s="11"/>
      <c r="C26" s="3" t="s">
        <v>2019</v>
      </c>
      <c r="D26" s="4">
        <f>'FY2020 December Account'!F26</f>
        <v>0</v>
      </c>
      <c r="E26" s="4">
        <v>0</v>
      </c>
      <c r="F26" s="15">
        <f>(D26+E26)</f>
        <v>0</v>
      </c>
      <c r="G26" s="374"/>
    </row>
    <row r="27" spans="1:7" x14ac:dyDescent="0.25">
      <c r="A27" s="374"/>
      <c r="B27" s="16" t="s">
        <v>58</v>
      </c>
      <c r="C27" s="2"/>
      <c r="D27" s="5">
        <f>'FY2020 December Account'!F27</f>
        <v>127031.53</v>
      </c>
      <c r="E27" s="5">
        <f>SUM(E24:E26)</f>
        <v>390.65</v>
      </c>
      <c r="F27" s="17">
        <f>(D27+E27)</f>
        <v>127422.18</v>
      </c>
      <c r="G27" s="374"/>
    </row>
    <row r="28" spans="1:7" ht="15.75" x14ac:dyDescent="0.25">
      <c r="A28" s="374"/>
      <c r="B28" s="11"/>
      <c r="C28" s="1"/>
      <c r="D28" s="1"/>
      <c r="E28" s="1"/>
      <c r="F28" s="12"/>
      <c r="G28" s="374"/>
    </row>
    <row r="29" spans="1:7" x14ac:dyDescent="0.25">
      <c r="A29" s="374"/>
      <c r="B29" s="13" t="s">
        <v>59</v>
      </c>
      <c r="C29" s="2"/>
      <c r="D29" s="2"/>
      <c r="E29" s="2"/>
      <c r="F29" s="14"/>
      <c r="G29" s="374"/>
    </row>
    <row r="30" spans="1:7" ht="15.75" x14ac:dyDescent="0.25">
      <c r="A30" s="374"/>
      <c r="B30" s="11"/>
      <c r="C30" s="3" t="s">
        <v>60</v>
      </c>
      <c r="D30" s="4">
        <f>'FY2020 December Account'!F30</f>
        <v>0</v>
      </c>
      <c r="E30" s="4">
        <v>0</v>
      </c>
      <c r="F30" s="15">
        <f>(D30+E30)</f>
        <v>0</v>
      </c>
      <c r="G30" s="374"/>
    </row>
    <row r="31" spans="1:7" ht="15.75" x14ac:dyDescent="0.25">
      <c r="A31" s="374"/>
      <c r="B31" s="11"/>
      <c r="C31" s="3" t="s">
        <v>2018</v>
      </c>
      <c r="D31" s="4">
        <f>'FY2020 December Account'!F31</f>
        <v>421</v>
      </c>
      <c r="E31" s="4"/>
      <c r="F31" s="15">
        <f>(D31+E31)</f>
        <v>421</v>
      </c>
      <c r="G31" s="374"/>
    </row>
    <row r="32" spans="1:7" x14ac:dyDescent="0.25">
      <c r="A32" s="374"/>
      <c r="B32" s="16" t="s">
        <v>61</v>
      </c>
      <c r="C32" s="2"/>
      <c r="D32" s="5">
        <f>'FY2020 December Account'!F32</f>
        <v>421</v>
      </c>
      <c r="E32" s="5">
        <f>SUM(E30:E31)</f>
        <v>0</v>
      </c>
      <c r="F32" s="17">
        <f>(D32+E32)</f>
        <v>421</v>
      </c>
      <c r="G32" s="374"/>
    </row>
    <row r="33" spans="1:7" ht="15.75" x14ac:dyDescent="0.25">
      <c r="A33" s="374"/>
      <c r="B33" s="11"/>
      <c r="C33" s="1"/>
      <c r="D33" s="1"/>
      <c r="E33" s="1"/>
      <c r="F33" s="12"/>
      <c r="G33" s="374"/>
    </row>
    <row r="34" spans="1:7" x14ac:dyDescent="0.25">
      <c r="A34" s="374"/>
      <c r="B34" s="76" t="s">
        <v>62</v>
      </c>
      <c r="C34" s="77"/>
      <c r="D34" s="78">
        <f>'FY2020 December Account'!F34</f>
        <v>127452.53</v>
      </c>
      <c r="E34" s="78">
        <f>SUM(E27,E32)</f>
        <v>390.65</v>
      </c>
      <c r="F34" s="79">
        <f>(D34+E34)</f>
        <v>127843.18</v>
      </c>
      <c r="G34" s="374"/>
    </row>
    <row r="35" spans="1:7" ht="15.75" x14ac:dyDescent="0.25">
      <c r="A35" s="374"/>
      <c r="B35" s="11"/>
      <c r="C35" s="1"/>
      <c r="D35" s="1"/>
      <c r="E35" s="1"/>
      <c r="F35" s="12"/>
      <c r="G35" s="374"/>
    </row>
    <row r="36" spans="1:7" ht="15.75" x14ac:dyDescent="0.25">
      <c r="A36" s="374"/>
      <c r="B36" s="344" t="s">
        <v>169</v>
      </c>
      <c r="C36" s="345"/>
      <c r="D36" s="345"/>
      <c r="E36" s="345"/>
      <c r="F36" s="346"/>
      <c r="G36" s="374"/>
    </row>
    <row r="37" spans="1:7" ht="15.75" x14ac:dyDescent="0.25">
      <c r="A37" s="374"/>
      <c r="B37" s="11"/>
      <c r="C37" s="1"/>
      <c r="D37" s="1"/>
      <c r="E37" s="1"/>
      <c r="F37" s="12"/>
      <c r="G37" s="374"/>
    </row>
    <row r="38" spans="1:7" x14ac:dyDescent="0.25">
      <c r="A38" s="374"/>
      <c r="B38" s="66" t="s">
        <v>63</v>
      </c>
      <c r="C38" s="67"/>
      <c r="D38" s="67"/>
      <c r="E38" s="67"/>
      <c r="F38" s="68"/>
      <c r="G38" s="374"/>
    </row>
    <row r="39" spans="1:7" x14ac:dyDescent="0.25">
      <c r="A39" s="374"/>
      <c r="B39" s="18"/>
      <c r="C39" s="3"/>
      <c r="D39" s="3"/>
      <c r="E39" s="3"/>
      <c r="F39" s="19"/>
      <c r="G39" s="374"/>
    </row>
    <row r="40" spans="1:7" x14ac:dyDescent="0.25">
      <c r="A40" s="374"/>
      <c r="B40" s="13" t="s">
        <v>64</v>
      </c>
      <c r="C40" s="2"/>
      <c r="D40" s="2"/>
      <c r="E40" s="2"/>
      <c r="F40" s="14"/>
      <c r="G40" s="374"/>
    </row>
    <row r="41" spans="1:7" x14ac:dyDescent="0.25">
      <c r="A41" s="374"/>
      <c r="B41" s="20"/>
      <c r="C41" s="3" t="s">
        <v>65</v>
      </c>
      <c r="D41" s="4">
        <f>'FY2020 December Account'!F41</f>
        <v>3250</v>
      </c>
      <c r="E41" s="4">
        <f>SUMIFS(TraFY2020Jan[[ Amount]],TraFY2020Jan[[ Description]], "*ADAM SCHMIDT*", TraFY2020Jan[[ Acct Desc]], "Participant Stipends")</f>
        <v>650</v>
      </c>
      <c r="F41" s="15">
        <f>(D41-E41)</f>
        <v>2600</v>
      </c>
      <c r="G41" s="374"/>
    </row>
    <row r="42" spans="1:7" x14ac:dyDescent="0.25">
      <c r="A42" s="374"/>
      <c r="B42" s="20"/>
      <c r="C42" s="3" t="s">
        <v>66</v>
      </c>
      <c r="D42" s="4">
        <f>'FY2020 December Account'!F42</f>
        <v>2000</v>
      </c>
      <c r="E42" s="4">
        <f>SUMIFS(TraFY2020Jan[[ Amount]],TraFY2020Jan[[ Description]], "*RAEKWON L. DAVIS*", TraFY2020Jan[[ Acct Desc]], "Participant Stipends")</f>
        <v>400</v>
      </c>
      <c r="F42" s="15">
        <f t="shared" ref="F42:F49" si="0">(D42-E42)</f>
        <v>1600</v>
      </c>
      <c r="G42" s="374"/>
    </row>
    <row r="43" spans="1:7" x14ac:dyDescent="0.25">
      <c r="A43" s="374"/>
      <c r="B43" s="20"/>
      <c r="C43" s="3" t="s">
        <v>67</v>
      </c>
      <c r="D43" s="4">
        <f>'FY2020 December Account'!F43</f>
        <v>1125</v>
      </c>
      <c r="E43" s="4">
        <f>SUMIFS(TraFY2020Jan[[ Amount]],TraFY2020Jan[[ Description]], "*RYAN DUNN*", TraFY2020Jan[[ Acct Desc]], "Participant Stipends")</f>
        <v>225</v>
      </c>
      <c r="F43" s="15">
        <f t="shared" si="0"/>
        <v>900</v>
      </c>
      <c r="G43" s="374"/>
    </row>
    <row r="44" spans="1:7" x14ac:dyDescent="0.25">
      <c r="A44" s="374"/>
      <c r="B44" s="20"/>
      <c r="C44" s="3" t="s">
        <v>68</v>
      </c>
      <c r="D44" s="4">
        <f>'FY2020 December Account'!F44</f>
        <v>1000</v>
      </c>
      <c r="E44" s="4">
        <f>SUMIFS(TraFY2020Jan[[ Amount]],TraFY2020Jan[[ Description]], "*NATHANIEL BLAKE JACOBS*", TraFY2020Jan[[ Acct Desc]], "Participant Stipends")</f>
        <v>200</v>
      </c>
      <c r="F44" s="15">
        <f t="shared" si="0"/>
        <v>800</v>
      </c>
      <c r="G44" s="374"/>
    </row>
    <row r="45" spans="1:7" x14ac:dyDescent="0.25">
      <c r="A45" s="374"/>
      <c r="B45" s="20"/>
      <c r="C45" s="3" t="s">
        <v>69</v>
      </c>
      <c r="D45" s="4">
        <f>'FY2020 December Account'!F45</f>
        <v>1000</v>
      </c>
      <c r="E45" s="4">
        <f>SUMIFS(TraFY2020Jan[[ Amount]],TraFY2020Jan[[ Description]], "*ALYSSA FLOYD*", TraFY2020Jan[[ Acct Desc]], "Participant Stipends")</f>
        <v>200</v>
      </c>
      <c r="F45" s="15">
        <f t="shared" si="0"/>
        <v>800</v>
      </c>
      <c r="G45" s="374"/>
    </row>
    <row r="46" spans="1:7" x14ac:dyDescent="0.25">
      <c r="A46" s="374"/>
      <c r="B46" s="20"/>
      <c r="C46" s="3" t="s">
        <v>70</v>
      </c>
      <c r="D46" s="4">
        <f>'FY2020 December Account'!F46</f>
        <v>1000</v>
      </c>
      <c r="E46" s="4">
        <f>SUMIFS(TraFY2020Jan[[ Amount]],TraFY2020Jan[[ Description]], "*OLIVIA TARPLEY*", TraFY2020Jan[[ Acct Desc]], "Participant Stipends")</f>
        <v>200</v>
      </c>
      <c r="F46" s="15">
        <f t="shared" si="0"/>
        <v>800</v>
      </c>
      <c r="G46" s="374"/>
    </row>
    <row r="47" spans="1:7" x14ac:dyDescent="0.25">
      <c r="A47" s="374"/>
      <c r="B47" s="20"/>
      <c r="C47" s="3" t="s">
        <v>71</v>
      </c>
      <c r="D47" s="4">
        <f>'FY2020 December Account'!F47</f>
        <v>1000</v>
      </c>
      <c r="E47" s="4">
        <f>SUMIFS(TraFY2020Jan[[ Amount]],TraFY2020Jan[[ Description]], "*JACOB NEWTON*", TraFY2020Jan[[ Acct Desc]], "Participant Stipends")</f>
        <v>200</v>
      </c>
      <c r="F47" s="15">
        <f t="shared" si="0"/>
        <v>800</v>
      </c>
      <c r="G47" s="374"/>
    </row>
    <row r="48" spans="1:7" x14ac:dyDescent="0.25">
      <c r="A48" s="374"/>
      <c r="B48" s="20"/>
      <c r="C48" s="3" t="s">
        <v>72</v>
      </c>
      <c r="D48" s="4">
        <f>'FY2020 December Account'!F48</f>
        <v>1000</v>
      </c>
      <c r="E48" s="4">
        <f>SUMIFS(TraFY2020Jan[[ Amount]],TraFY2020Jan[[ Description]], "*AVERY WALTER*", TraFY2020Jan[[ Acct Desc]], "Participant Stipends")</f>
        <v>200</v>
      </c>
      <c r="F48" s="15">
        <f t="shared" si="0"/>
        <v>800</v>
      </c>
      <c r="G48" s="374"/>
    </row>
    <row r="49" spans="1:7" x14ac:dyDescent="0.25">
      <c r="A49" s="374"/>
      <c r="B49" s="20"/>
      <c r="C49" s="3" t="s">
        <v>73</v>
      </c>
      <c r="D49" s="4">
        <f>'FY2020 December Account'!F49</f>
        <v>1000</v>
      </c>
      <c r="E49" s="4">
        <f>SUMIFS(TraFY2020Jan[[ Amount]],TraFY2020Jan[[ Description]], "*SKYE GREGG*", TraFY2020Jan[[ Acct Desc]], "Participant Stipends")</f>
        <v>200</v>
      </c>
      <c r="F49" s="15">
        <f t="shared" si="0"/>
        <v>800</v>
      </c>
      <c r="G49" s="374"/>
    </row>
    <row r="50" spans="1:7" x14ac:dyDescent="0.25">
      <c r="A50" s="374"/>
      <c r="B50" s="16" t="s">
        <v>74</v>
      </c>
      <c r="C50" s="2"/>
      <c r="D50" s="5">
        <f>'FY2020 December Account'!F50</f>
        <v>12375</v>
      </c>
      <c r="E50" s="6">
        <f>SUM(E41:E49)</f>
        <v>2475</v>
      </c>
      <c r="F50" s="21">
        <f>(D50-E50)</f>
        <v>9900</v>
      </c>
      <c r="G50" s="374"/>
    </row>
    <row r="51" spans="1:7" x14ac:dyDescent="0.25">
      <c r="A51" s="374"/>
      <c r="B51" s="20"/>
      <c r="C51" s="3"/>
      <c r="D51" s="3"/>
      <c r="E51" s="3"/>
      <c r="F51" s="19"/>
      <c r="G51" s="374"/>
    </row>
    <row r="52" spans="1:7" x14ac:dyDescent="0.25">
      <c r="A52" s="374"/>
      <c r="B52" s="13" t="s">
        <v>75</v>
      </c>
      <c r="C52" s="2"/>
      <c r="D52" s="2"/>
      <c r="E52" s="2"/>
      <c r="F52" s="14"/>
      <c r="G52" s="374"/>
    </row>
    <row r="53" spans="1:7" x14ac:dyDescent="0.25">
      <c r="A53" s="374"/>
      <c r="B53" s="20"/>
      <c r="C53" s="3" t="s">
        <v>76</v>
      </c>
      <c r="D53" s="4">
        <f>'FY2020 December Account'!F53</f>
        <v>26500.160000000003</v>
      </c>
      <c r="E53" s="4">
        <f>SUMIFS(TraFY2020Jan[[ Amount]],TraFY2020Jan[[ Acct Desc]], "EHRA*")</f>
        <v>4416.6400000000003</v>
      </c>
      <c r="F53" s="15">
        <f>(D53-E53)</f>
        <v>22083.520000000004</v>
      </c>
      <c r="G53" s="374"/>
    </row>
    <row r="54" spans="1:7" x14ac:dyDescent="0.25">
      <c r="A54" s="374"/>
      <c r="B54" s="20"/>
      <c r="C54" s="3" t="s">
        <v>77</v>
      </c>
      <c r="D54" s="4">
        <f>'FY2020 December Account'!F54</f>
        <v>4997.8999999999978</v>
      </c>
      <c r="E54" s="4">
        <f>SUMIFS(TraFY2020Jan[[ Amount]],TraFY2020Jan[[ Acct Desc]], "ORP-TIAA Ret*")</f>
        <v>302.10000000000002</v>
      </c>
      <c r="F54" s="15">
        <f t="shared" ref="F54:F57" si="1">(D54-E54)</f>
        <v>4695.7999999999975</v>
      </c>
      <c r="G54" s="374"/>
    </row>
    <row r="55" spans="1:7" x14ac:dyDescent="0.25">
      <c r="A55" s="374"/>
      <c r="B55" s="20"/>
      <c r="C55" s="3" t="s">
        <v>78</v>
      </c>
      <c r="D55" s="4">
        <f>'FY2020 December Account'!F55</f>
        <v>1724.2399999999996</v>
      </c>
      <c r="E55" s="4">
        <f>SUMIFS(TraFY2020Jan[[ Amount]],TraFY2020Jan[[ Acct Desc]], "ORP-TIAA Hea*") + SUMIFS(TraFY2020Jan[[ Amount]],TraFY2020Jan[[ Acct Desc]], "Medical*")</f>
        <v>647.66000000000008</v>
      </c>
      <c r="F55" s="15">
        <f t="shared" si="1"/>
        <v>1076.5799999999995</v>
      </c>
      <c r="G55" s="374"/>
    </row>
    <row r="56" spans="1:7" x14ac:dyDescent="0.25">
      <c r="A56" s="374"/>
      <c r="B56" s="20"/>
      <c r="C56" s="3" t="s">
        <v>79</v>
      </c>
      <c r="D56" s="4">
        <f>'FY2020 December Account'!F56</f>
        <v>1669.9000000000005</v>
      </c>
      <c r="E56" s="4">
        <f>SUMIFS(TraFY2020Jan[[ Amount]],TraFY2020Jan[[ Acct Desc]], "Social Security-OASDI")</f>
        <v>269.29000000000002</v>
      </c>
      <c r="F56" s="15">
        <f t="shared" si="1"/>
        <v>1400.6100000000006</v>
      </c>
      <c r="G56" s="374"/>
    </row>
    <row r="57" spans="1:7" x14ac:dyDescent="0.25">
      <c r="A57" s="374"/>
      <c r="B57" s="20"/>
      <c r="C57" s="3" t="s">
        <v>80</v>
      </c>
      <c r="D57" s="4">
        <f>'FY2020 December Account'!F57</f>
        <v>390.52</v>
      </c>
      <c r="E57" s="4">
        <f>SUMIFS(TraFY2020Jan[[ Amount]],TraFY2020Jan[[ Acct Desc]], "*Hospital Ins*")</f>
        <v>62.98</v>
      </c>
      <c r="F57" s="15">
        <f t="shared" si="1"/>
        <v>327.53999999999996</v>
      </c>
      <c r="G57" s="374"/>
    </row>
    <row r="58" spans="1:7" x14ac:dyDescent="0.25">
      <c r="A58" s="374"/>
      <c r="B58" s="16" t="s">
        <v>81</v>
      </c>
      <c r="C58" s="2"/>
      <c r="D58" s="5">
        <f>'FY2020 December Account'!F58</f>
        <v>35282.719999999994</v>
      </c>
      <c r="E58" s="6">
        <f>SUM(E53:E57)</f>
        <v>5698.67</v>
      </c>
      <c r="F58" s="21">
        <f>(D58-E58)</f>
        <v>29584.049999999996</v>
      </c>
      <c r="G58" s="374"/>
    </row>
    <row r="59" spans="1:7" x14ac:dyDescent="0.25">
      <c r="A59" s="374"/>
      <c r="B59" s="20"/>
      <c r="C59" s="3"/>
      <c r="D59" s="3"/>
      <c r="E59" s="3"/>
      <c r="F59" s="19"/>
      <c r="G59" s="374"/>
    </row>
    <row r="60" spans="1:7" x14ac:dyDescent="0.25">
      <c r="A60" s="374"/>
      <c r="B60" s="13" t="s">
        <v>82</v>
      </c>
      <c r="C60" s="2"/>
      <c r="D60" s="2"/>
      <c r="E60" s="2"/>
      <c r="F60" s="14"/>
      <c r="G60" s="374"/>
    </row>
    <row r="61" spans="1:7" x14ac:dyDescent="0.25">
      <c r="A61" s="374"/>
      <c r="B61" s="20"/>
      <c r="C61" s="3" t="s">
        <v>83</v>
      </c>
      <c r="D61" s="4">
        <f>'FY2020 December Account'!F61</f>
        <v>10625</v>
      </c>
      <c r="E61" s="4">
        <f>SUMIFS(TraFY2020Jan[[ Amount]],TraFY2020Jan[[ Trans ID]], "*STIP_ASG*",TraFY2020Jan[[ Amount]], "125" )</f>
        <v>2125</v>
      </c>
      <c r="F61" s="15">
        <f t="shared" ref="F61" si="2">(D61-E61)</f>
        <v>8500</v>
      </c>
      <c r="G61" s="374"/>
    </row>
    <row r="62" spans="1:7" x14ac:dyDescent="0.25">
      <c r="A62" s="374"/>
      <c r="B62" s="16" t="s">
        <v>84</v>
      </c>
      <c r="C62" s="2"/>
      <c r="D62" s="5">
        <f>'FY2020 December Account'!F62</f>
        <v>10625</v>
      </c>
      <c r="E62" s="6">
        <f>SUM(E61:E61)</f>
        <v>2125</v>
      </c>
      <c r="F62" s="21">
        <f>(D62-E62)</f>
        <v>8500</v>
      </c>
      <c r="G62" s="374"/>
    </row>
    <row r="63" spans="1:7" x14ac:dyDescent="0.25">
      <c r="A63" s="374"/>
      <c r="B63" s="20"/>
      <c r="C63" s="3"/>
      <c r="D63" s="3"/>
      <c r="E63" s="3"/>
      <c r="F63" s="19"/>
      <c r="G63" s="374"/>
    </row>
    <row r="64" spans="1:7" x14ac:dyDescent="0.25">
      <c r="A64" s="374"/>
      <c r="B64" s="69" t="s">
        <v>85</v>
      </c>
      <c r="C64" s="70"/>
      <c r="D64" s="71">
        <f>'FY2020 December Account'!F64</f>
        <v>58282.720000000001</v>
      </c>
      <c r="E64" s="71">
        <f>SUM(E50, E58, E62)</f>
        <v>10298.67</v>
      </c>
      <c r="F64" s="72">
        <f>(D64-E64)</f>
        <v>47984.05</v>
      </c>
      <c r="G64" s="374"/>
    </row>
    <row r="65" spans="1:7" x14ac:dyDescent="0.25">
      <c r="A65" s="374"/>
      <c r="B65" s="20"/>
      <c r="C65" s="3"/>
      <c r="D65" s="3"/>
      <c r="E65" s="3"/>
      <c r="F65" s="19"/>
      <c r="G65" s="374"/>
    </row>
    <row r="66" spans="1:7" x14ac:dyDescent="0.25">
      <c r="A66" s="374"/>
      <c r="B66" s="58" t="s">
        <v>130</v>
      </c>
      <c r="C66" s="59"/>
      <c r="D66" s="59"/>
      <c r="E66" s="59"/>
      <c r="F66" s="60"/>
      <c r="G66" s="374"/>
    </row>
    <row r="67" spans="1:7" x14ac:dyDescent="0.25">
      <c r="A67" s="374"/>
      <c r="B67" s="18"/>
      <c r="C67" s="3"/>
      <c r="D67" s="3"/>
      <c r="E67" s="3"/>
      <c r="F67" s="19"/>
      <c r="G67" s="374"/>
    </row>
    <row r="68" spans="1:7" x14ac:dyDescent="0.25">
      <c r="A68" s="374"/>
      <c r="B68" s="13" t="s">
        <v>86</v>
      </c>
      <c r="C68" s="2"/>
      <c r="D68" s="2"/>
      <c r="E68" s="2"/>
      <c r="F68" s="14"/>
      <c r="G68" s="374"/>
    </row>
    <row r="69" spans="1:7" x14ac:dyDescent="0.25">
      <c r="A69" s="374"/>
      <c r="B69" s="20"/>
      <c r="C69" s="3" t="s">
        <v>87</v>
      </c>
      <c r="D69" s="4">
        <f>'FY2020 December Account'!F69</f>
        <v>174</v>
      </c>
      <c r="E69" s="4">
        <f>SUMIFS(TraFY2020Jan[[ Amount]],TraFY2020Jan[[ Acct Desc]], "Teleph*")</f>
        <v>0</v>
      </c>
      <c r="F69" s="15">
        <f t="shared" ref="F69:F70" si="3">(D69-E69)</f>
        <v>174</v>
      </c>
      <c r="G69" s="374"/>
    </row>
    <row r="70" spans="1:7" x14ac:dyDescent="0.25">
      <c r="A70" s="374"/>
      <c r="B70" s="20"/>
      <c r="C70" s="3" t="s">
        <v>88</v>
      </c>
      <c r="D70" s="4">
        <f>'FY2020 December Account'!F70</f>
        <v>841.01</v>
      </c>
      <c r="E70" s="4">
        <f>SUMIFS(TraFY2020Jan[[ Amount]],TraFY2020Jan[[ Acct Desc]], "*Supplies*") + SUMIFS(TraFY2020Jan[[ Amount]],TraFY2020Jan[[ Acct Desc]], "*Pcard*") + SUMIFS(TraFY2020Jan[[ Amount]],TraFY2020Jan[[ Acct Desc]], "*Printing*") - E75</f>
        <v>243.54000000000002</v>
      </c>
      <c r="F70" s="15">
        <f t="shared" si="3"/>
        <v>597.47</v>
      </c>
      <c r="G70" s="374"/>
    </row>
    <row r="71" spans="1:7" x14ac:dyDescent="0.25">
      <c r="A71" s="374"/>
      <c r="B71" s="16" t="s">
        <v>89</v>
      </c>
      <c r="C71" s="2"/>
      <c r="D71" s="5">
        <f>'FY2020 December Account'!F71</f>
        <v>1015.0100000000002</v>
      </c>
      <c r="E71" s="6">
        <f>SUM(E69:E70)</f>
        <v>243.54000000000002</v>
      </c>
      <c r="F71" s="21">
        <f>(D71-E71)</f>
        <v>771.47000000000025</v>
      </c>
      <c r="G71" s="374"/>
    </row>
    <row r="72" spans="1:7" x14ac:dyDescent="0.25">
      <c r="A72" s="374"/>
      <c r="B72" s="20"/>
      <c r="C72" s="3"/>
      <c r="D72" s="3"/>
      <c r="E72" s="3"/>
      <c r="F72" s="19"/>
      <c r="G72" s="374"/>
    </row>
    <row r="73" spans="1:7" x14ac:dyDescent="0.25">
      <c r="A73" s="374"/>
      <c r="B73" s="13" t="s">
        <v>90</v>
      </c>
      <c r="C73" s="2"/>
      <c r="D73" s="2"/>
      <c r="E73" s="2"/>
      <c r="F73" s="14"/>
      <c r="G73" s="374"/>
    </row>
    <row r="74" spans="1:7" x14ac:dyDescent="0.25">
      <c r="A74" s="374"/>
      <c r="B74" s="20"/>
      <c r="C74" s="3" t="s">
        <v>91</v>
      </c>
      <c r="D74" s="4">
        <f>'FY2020 December Account'!F74</f>
        <v>132</v>
      </c>
      <c r="E74" s="4">
        <f>SUMIFS(TraFY2020Jan[[ Amount]],TraFY2020Jan[[ Acct Desc]], "Internet Service") + SUMIFS(TraFY2020Jan[[ Amount]],TraFY2020Jan[[ Acct Desc]], "Software Subscriptions")</f>
        <v>0</v>
      </c>
      <c r="F74" s="15">
        <f t="shared" ref="F74:F76" si="4">(D74-E74)</f>
        <v>132</v>
      </c>
      <c r="G74" s="374"/>
    </row>
    <row r="75" spans="1:7" x14ac:dyDescent="0.25">
      <c r="A75" s="374"/>
      <c r="B75" s="20"/>
      <c r="C75" s="3" t="s">
        <v>92</v>
      </c>
      <c r="D75" s="4">
        <f>'FY2020 December Account'!F75</f>
        <v>547.98</v>
      </c>
      <c r="E75" s="4">
        <f>SUMIFS(TraFY2020Jan[[ Amount]],TraFY2020Jan[[ Acct Desc]], "*Non Educ Misc")</f>
        <v>0</v>
      </c>
      <c r="F75" s="15">
        <f t="shared" si="4"/>
        <v>547.98</v>
      </c>
      <c r="G75" s="374"/>
    </row>
    <row r="76" spans="1:7" x14ac:dyDescent="0.25">
      <c r="A76" s="374"/>
      <c r="B76" s="20"/>
      <c r="C76" s="3" t="s">
        <v>93</v>
      </c>
      <c r="D76" s="4">
        <f>'FY2020 December Account'!F76</f>
        <v>500</v>
      </c>
      <c r="E76" s="4">
        <v>0</v>
      </c>
      <c r="F76" s="15">
        <f t="shared" si="4"/>
        <v>500</v>
      </c>
      <c r="G76" s="374"/>
    </row>
    <row r="77" spans="1:7" x14ac:dyDescent="0.25">
      <c r="A77" s="374"/>
      <c r="B77" s="16" t="s">
        <v>94</v>
      </c>
      <c r="C77" s="2"/>
      <c r="D77" s="5">
        <f>'FY2020 December Account'!F77</f>
        <v>1179.98</v>
      </c>
      <c r="E77" s="6">
        <f>SUM(E74:E76)</f>
        <v>0</v>
      </c>
      <c r="F77" s="21">
        <f>(D77-E77)</f>
        <v>1179.98</v>
      </c>
      <c r="G77" s="374"/>
    </row>
    <row r="78" spans="1:7" x14ac:dyDescent="0.25">
      <c r="A78" s="374"/>
      <c r="B78" s="20"/>
      <c r="C78" s="3"/>
      <c r="D78" s="3"/>
      <c r="E78" s="3"/>
      <c r="F78" s="19"/>
      <c r="G78" s="374"/>
    </row>
    <row r="79" spans="1:7" x14ac:dyDescent="0.25">
      <c r="A79" s="374"/>
      <c r="B79" s="61" t="s">
        <v>95</v>
      </c>
      <c r="C79" s="62"/>
      <c r="D79" s="63">
        <f>'FY2020 December Account'!F79</f>
        <v>2194.9900000000002</v>
      </c>
      <c r="E79" s="64">
        <f>SUM(E71, E77)</f>
        <v>243.54000000000002</v>
      </c>
      <c r="F79" s="65">
        <f>(D79-E79)</f>
        <v>1951.4500000000003</v>
      </c>
      <c r="G79" s="374"/>
    </row>
    <row r="80" spans="1:7" x14ac:dyDescent="0.25">
      <c r="A80" s="374"/>
      <c r="B80" s="20"/>
      <c r="C80" s="3"/>
      <c r="D80" s="3"/>
      <c r="E80" s="3"/>
      <c r="F80" s="19"/>
      <c r="G80" s="374"/>
    </row>
    <row r="81" spans="1:7" x14ac:dyDescent="0.25">
      <c r="A81" s="374"/>
      <c r="B81" s="51" t="s">
        <v>96</v>
      </c>
      <c r="C81" s="52"/>
      <c r="D81" s="52"/>
      <c r="E81" s="52"/>
      <c r="F81" s="53"/>
      <c r="G81" s="374"/>
    </row>
    <row r="82" spans="1:7" x14ac:dyDescent="0.25">
      <c r="A82" s="374"/>
      <c r="B82" s="18"/>
      <c r="C82" s="3"/>
      <c r="D82" s="3"/>
      <c r="E82" s="3"/>
      <c r="F82" s="19"/>
      <c r="G82" s="374"/>
    </row>
    <row r="83" spans="1:7" x14ac:dyDescent="0.25">
      <c r="A83" s="374"/>
      <c r="B83" s="13" t="s">
        <v>97</v>
      </c>
      <c r="C83" s="2"/>
      <c r="D83" s="2"/>
      <c r="E83" s="2"/>
      <c r="F83" s="14"/>
      <c r="G83" s="374"/>
    </row>
    <row r="84" spans="1:7" x14ac:dyDescent="0.25">
      <c r="A84" s="374"/>
      <c r="B84" s="20"/>
      <c r="C84" s="3" t="s">
        <v>98</v>
      </c>
      <c r="D84" s="4">
        <f>'FY2020 December Account'!F84</f>
        <v>20111.859999999997</v>
      </c>
      <c r="E84" s="4">
        <f>SUMIFS(TraFY2020Jan[[ Amount]],TraFY2020Jan[[ Acct Desc]], "*Lodging")</f>
        <v>0</v>
      </c>
      <c r="F84" s="15">
        <f>(D84-E84)</f>
        <v>20111.859999999997</v>
      </c>
      <c r="G84" s="374"/>
    </row>
    <row r="85" spans="1:7" x14ac:dyDescent="0.25">
      <c r="A85" s="374"/>
      <c r="B85" s="20"/>
      <c r="C85" s="3" t="s">
        <v>99</v>
      </c>
      <c r="D85" s="4">
        <f>'FY2020 December Account'!F85</f>
        <v>10592.6</v>
      </c>
      <c r="E85" s="4">
        <f>SUMIFS(TraFY2020Jan[[ Amount]],TraFY2020Jan[[ Acct Desc]], "*Ground") + SUMIFS(TraFY2020Jan[[ Amount]],TraFY2020Jan[[ Acct Desc]], "*Other")</f>
        <v>1520.28</v>
      </c>
      <c r="F85" s="15">
        <f>(D85-E85)</f>
        <v>9072.32</v>
      </c>
      <c r="G85" s="374"/>
    </row>
    <row r="86" spans="1:7" x14ac:dyDescent="0.25">
      <c r="A86" s="374"/>
      <c r="B86" s="20"/>
      <c r="C86" s="3" t="s">
        <v>100</v>
      </c>
      <c r="D86" s="4">
        <f>'FY2020 December Account'!F86</f>
        <v>6142.98</v>
      </c>
      <c r="E86" s="4">
        <f>SUMIFS(TraFY2020Jan[[ Amount]],TraFY2020Jan[[ Acct Desc]], "*Meetings*") +SUMIFS(TraFY2020Jan[[ Amount]], TraFY2020Jan[[ Acct Desc]], "*Meal*")</f>
        <v>16.190000000000001</v>
      </c>
      <c r="F86" s="15">
        <f t="shared" ref="F86" si="5">(D86-E86)</f>
        <v>6126.79</v>
      </c>
      <c r="G86" s="374"/>
    </row>
    <row r="87" spans="1:7" x14ac:dyDescent="0.25">
      <c r="A87" s="374"/>
      <c r="B87" s="16" t="s">
        <v>101</v>
      </c>
      <c r="C87" s="2"/>
      <c r="D87" s="5">
        <f>'FY2020 December Account'!F87</f>
        <v>36847.440000000002</v>
      </c>
      <c r="E87" s="6">
        <f>SUM(E84:E86)</f>
        <v>1536.47</v>
      </c>
      <c r="F87" s="21">
        <f>(D87-E87)</f>
        <v>35310.97</v>
      </c>
      <c r="G87" s="374"/>
    </row>
    <row r="88" spans="1:7" x14ac:dyDescent="0.25">
      <c r="A88" s="374"/>
      <c r="B88" s="20"/>
      <c r="C88" s="3"/>
      <c r="D88" s="3"/>
      <c r="E88" s="3"/>
      <c r="F88" s="19"/>
      <c r="G88" s="374"/>
    </row>
    <row r="89" spans="1:7" x14ac:dyDescent="0.25">
      <c r="A89" s="374"/>
      <c r="B89" s="13" t="s">
        <v>102</v>
      </c>
      <c r="C89" s="2"/>
      <c r="D89" s="2"/>
      <c r="E89" s="2"/>
      <c r="F89" s="14"/>
      <c r="G89" s="374"/>
    </row>
    <row r="90" spans="1:7" x14ac:dyDescent="0.25">
      <c r="A90" s="374"/>
      <c r="B90" s="20"/>
      <c r="C90" s="3" t="s">
        <v>103</v>
      </c>
      <c r="D90" s="4">
        <f>'FY2020 December Account'!F90</f>
        <v>3190.82</v>
      </c>
      <c r="E90" s="4">
        <v>0</v>
      </c>
      <c r="F90" s="15">
        <f t="shared" ref="F90:F92" si="6">(D90-E90)</f>
        <v>3190.82</v>
      </c>
      <c r="G90" s="374"/>
    </row>
    <row r="91" spans="1:7" x14ac:dyDescent="0.25">
      <c r="A91" s="374"/>
      <c r="B91" s="20"/>
      <c r="C91" s="3" t="s">
        <v>104</v>
      </c>
      <c r="D91" s="4">
        <f>'FY2020 December Account'!F91</f>
        <v>1000</v>
      </c>
      <c r="E91" s="4">
        <v>0</v>
      </c>
      <c r="F91" s="15">
        <f t="shared" si="6"/>
        <v>1000</v>
      </c>
      <c r="G91" s="374"/>
    </row>
    <row r="92" spans="1:7" x14ac:dyDescent="0.25">
      <c r="A92" s="374"/>
      <c r="B92" s="20"/>
      <c r="C92" s="3" t="s">
        <v>1993</v>
      </c>
      <c r="D92" s="4">
        <f>'FY2020 December Account'!F92</f>
        <v>3000</v>
      </c>
      <c r="E92" s="4">
        <v>0</v>
      </c>
      <c r="F92" s="15">
        <f t="shared" si="6"/>
        <v>3000</v>
      </c>
      <c r="G92" s="374"/>
    </row>
    <row r="93" spans="1:7" x14ac:dyDescent="0.25">
      <c r="A93" s="374"/>
      <c r="B93" s="16" t="s">
        <v>105</v>
      </c>
      <c r="C93" s="2"/>
      <c r="D93" s="5">
        <f>'FY2020 December Account'!F93</f>
        <v>7190.82</v>
      </c>
      <c r="E93" s="6">
        <f>SUM(E90:E92)</f>
        <v>0</v>
      </c>
      <c r="F93" s="21">
        <f>(D93-E93)</f>
        <v>7190.82</v>
      </c>
      <c r="G93" s="374"/>
    </row>
    <row r="94" spans="1:7" x14ac:dyDescent="0.25">
      <c r="A94" s="374"/>
      <c r="B94" s="20"/>
      <c r="C94" s="3"/>
      <c r="D94" s="3"/>
      <c r="E94" s="3"/>
      <c r="F94" s="19"/>
      <c r="G94" s="374"/>
    </row>
    <row r="95" spans="1:7" x14ac:dyDescent="0.25">
      <c r="A95" s="374"/>
      <c r="B95" s="54" t="s">
        <v>106</v>
      </c>
      <c r="C95" s="55"/>
      <c r="D95" s="56">
        <f>'FY2020 December Account'!F95</f>
        <v>44038.260000000009</v>
      </c>
      <c r="E95" s="56">
        <f>SUM(E87, E93)</f>
        <v>1536.47</v>
      </c>
      <c r="F95" s="57">
        <f>(D95-E95)</f>
        <v>42501.790000000008</v>
      </c>
      <c r="G95" s="374"/>
    </row>
    <row r="96" spans="1:7" x14ac:dyDescent="0.25">
      <c r="A96" s="374"/>
      <c r="B96" s="20"/>
      <c r="C96" s="3"/>
      <c r="D96" s="3"/>
      <c r="E96" s="3"/>
      <c r="F96" s="19"/>
      <c r="G96" s="374"/>
    </row>
    <row r="97" spans="1:7" x14ac:dyDescent="0.25">
      <c r="A97" s="374"/>
      <c r="B97" s="44" t="s">
        <v>107</v>
      </c>
      <c r="C97" s="45"/>
      <c r="D97" s="45"/>
      <c r="E97" s="45"/>
      <c r="F97" s="46"/>
      <c r="G97" s="374"/>
    </row>
    <row r="98" spans="1:7" x14ac:dyDescent="0.25">
      <c r="A98" s="374"/>
      <c r="B98" s="18"/>
      <c r="C98" s="3"/>
      <c r="D98" s="3"/>
      <c r="E98" s="3"/>
      <c r="F98" s="19"/>
      <c r="G98" s="374"/>
    </row>
    <row r="99" spans="1:7" x14ac:dyDescent="0.25">
      <c r="A99" s="374"/>
      <c r="B99" s="13" t="s">
        <v>108</v>
      </c>
      <c r="C99" s="2"/>
      <c r="D99" s="2"/>
      <c r="E99" s="2"/>
      <c r="F99" s="14"/>
      <c r="G99" s="374"/>
    </row>
    <row r="100" spans="1:7" x14ac:dyDescent="0.25">
      <c r="A100" s="374"/>
      <c r="B100" s="20"/>
      <c r="C100" s="3" t="s">
        <v>109</v>
      </c>
      <c r="D100" s="4">
        <f>'FY2020 December Account'!F100</f>
        <v>3250</v>
      </c>
      <c r="E100" s="4">
        <v>0</v>
      </c>
      <c r="F100" s="15">
        <f t="shared" ref="F100" si="7">(D100-E100)</f>
        <v>3250</v>
      </c>
      <c r="G100" s="374"/>
    </row>
    <row r="101" spans="1:7" x14ac:dyDescent="0.25">
      <c r="A101" s="374"/>
      <c r="B101" s="16" t="s">
        <v>110</v>
      </c>
      <c r="C101" s="2"/>
      <c r="D101" s="5">
        <f>'FY2020 December Account'!F101</f>
        <v>3250</v>
      </c>
      <c r="E101" s="6">
        <f>SUM(E100:E100)</f>
        <v>0</v>
      </c>
      <c r="F101" s="21">
        <f>(D101-E101)</f>
        <v>3250</v>
      </c>
      <c r="G101" s="374"/>
    </row>
    <row r="102" spans="1:7" x14ac:dyDescent="0.25">
      <c r="A102" s="374"/>
      <c r="B102" s="20"/>
      <c r="C102" s="3"/>
      <c r="D102" s="3"/>
      <c r="E102" s="3"/>
      <c r="F102" s="19"/>
      <c r="G102" s="374"/>
    </row>
    <row r="103" spans="1:7" x14ac:dyDescent="0.25">
      <c r="A103" s="374"/>
      <c r="B103" s="13" t="s">
        <v>111</v>
      </c>
      <c r="C103" s="2"/>
      <c r="D103" s="2"/>
      <c r="E103" s="2"/>
      <c r="F103" s="14"/>
      <c r="G103" s="374"/>
    </row>
    <row r="104" spans="1:7" x14ac:dyDescent="0.25">
      <c r="A104" s="374"/>
      <c r="B104" s="20"/>
      <c r="C104" s="3" t="s">
        <v>112</v>
      </c>
      <c r="D104" s="4">
        <f>'FY2020 December Account'!F104</f>
        <v>16547.53</v>
      </c>
      <c r="E104" s="4">
        <f>SUMIFS(TraFY2020Jan[[ Amount]],TraFY2020Jan[[ Acct Desc]], "Other Inter*")</f>
        <v>1007.64</v>
      </c>
      <c r="F104" s="15">
        <f t="shared" ref="F104:F105" si="8">(D104-E104)</f>
        <v>15539.89</v>
      </c>
      <c r="G104" s="374"/>
    </row>
    <row r="105" spans="1:7" x14ac:dyDescent="0.25">
      <c r="A105" s="374"/>
      <c r="B105" s="20"/>
      <c r="C105" s="3" t="s">
        <v>1992</v>
      </c>
      <c r="D105" s="4">
        <f>'FY2020 December Account'!F105</f>
        <v>20000</v>
      </c>
      <c r="E105" s="4">
        <v>0</v>
      </c>
      <c r="F105" s="15">
        <f t="shared" si="8"/>
        <v>20000</v>
      </c>
      <c r="G105" s="374"/>
    </row>
    <row r="106" spans="1:7" x14ac:dyDescent="0.25">
      <c r="A106" s="374"/>
      <c r="B106" s="16" t="s">
        <v>113</v>
      </c>
      <c r="C106" s="2"/>
      <c r="D106" s="5">
        <f>'FY2020 December Account'!F106</f>
        <v>36547.53</v>
      </c>
      <c r="E106" s="6">
        <f>SUM(E104:E105)</f>
        <v>1007.64</v>
      </c>
      <c r="F106" s="21">
        <f>(D106-E106)</f>
        <v>35539.89</v>
      </c>
      <c r="G106" s="374"/>
    </row>
    <row r="107" spans="1:7" x14ac:dyDescent="0.25">
      <c r="A107" s="374"/>
      <c r="B107" s="22"/>
      <c r="C107" s="3"/>
      <c r="D107" s="3"/>
      <c r="E107" s="3"/>
      <c r="F107" s="19"/>
      <c r="G107" s="374"/>
    </row>
    <row r="108" spans="1:7" x14ac:dyDescent="0.25">
      <c r="A108" s="374"/>
      <c r="B108" s="13" t="s">
        <v>114</v>
      </c>
      <c r="C108" s="2"/>
      <c r="D108" s="2"/>
      <c r="E108" s="2"/>
      <c r="F108" s="14"/>
      <c r="G108" s="374"/>
    </row>
    <row r="109" spans="1:7" x14ac:dyDescent="0.25">
      <c r="A109" s="374"/>
      <c r="B109" s="20"/>
      <c r="C109" s="3" t="s">
        <v>115</v>
      </c>
      <c r="D109" s="4">
        <f>'FY2020 December Account'!F109</f>
        <v>2000</v>
      </c>
      <c r="E109" s="4">
        <v>0</v>
      </c>
      <c r="F109" s="15">
        <f t="shared" ref="F109" si="9">(D109-E109)</f>
        <v>2000</v>
      </c>
      <c r="G109" s="374"/>
    </row>
    <row r="110" spans="1:7" x14ac:dyDescent="0.25">
      <c r="A110" s="374"/>
      <c r="B110" s="16" t="s">
        <v>116</v>
      </c>
      <c r="C110" s="2"/>
      <c r="D110" s="5">
        <f>'FY2020 December Account'!F110</f>
        <v>2000</v>
      </c>
      <c r="E110" s="6">
        <f>SUM(E109:E109)</f>
        <v>0</v>
      </c>
      <c r="F110" s="21">
        <f>(D110-E110)</f>
        <v>2000</v>
      </c>
      <c r="G110" s="374"/>
    </row>
    <row r="111" spans="1:7" x14ac:dyDescent="0.25">
      <c r="A111" s="374"/>
      <c r="B111" s="20"/>
      <c r="C111" s="3"/>
      <c r="D111" s="3"/>
      <c r="E111" s="3"/>
      <c r="F111" s="19"/>
      <c r="G111" s="374"/>
    </row>
    <row r="112" spans="1:7" x14ac:dyDescent="0.25">
      <c r="A112" s="374"/>
      <c r="B112" s="13" t="s">
        <v>117</v>
      </c>
      <c r="C112" s="2"/>
      <c r="D112" s="2"/>
      <c r="E112" s="2"/>
      <c r="F112" s="14"/>
      <c r="G112" s="374"/>
    </row>
    <row r="113" spans="1:7" x14ac:dyDescent="0.25">
      <c r="A113" s="374"/>
      <c r="B113" s="20"/>
      <c r="C113" s="3" t="s">
        <v>118</v>
      </c>
      <c r="D113" s="4">
        <f>'FY2020 December Account'!F113</f>
        <v>4500</v>
      </c>
      <c r="E113" s="4">
        <v>0</v>
      </c>
      <c r="F113" s="15">
        <f t="shared" ref="F113:F115" si="10">(D113-E113)</f>
        <v>4500</v>
      </c>
      <c r="G113" s="374"/>
    </row>
    <row r="114" spans="1:7" x14ac:dyDescent="0.25">
      <c r="A114" s="374"/>
      <c r="B114" s="20"/>
      <c r="C114" s="3" t="s">
        <v>119</v>
      </c>
      <c r="D114" s="4">
        <f>'FY2020 December Account'!F114</f>
        <v>3000</v>
      </c>
      <c r="E114" s="4">
        <v>0</v>
      </c>
      <c r="F114" s="15">
        <f t="shared" si="10"/>
        <v>3000</v>
      </c>
      <c r="G114" s="374"/>
    </row>
    <row r="115" spans="1:7" x14ac:dyDescent="0.25">
      <c r="A115" s="374"/>
      <c r="B115" s="20"/>
      <c r="C115" s="3" t="s">
        <v>120</v>
      </c>
      <c r="D115" s="4">
        <f>'FY2020 December Account'!F115</f>
        <v>4500</v>
      </c>
      <c r="E115" s="4">
        <v>0</v>
      </c>
      <c r="F115" s="15">
        <f t="shared" si="10"/>
        <v>4500</v>
      </c>
      <c r="G115" s="374"/>
    </row>
    <row r="116" spans="1:7" x14ac:dyDescent="0.25">
      <c r="A116" s="374"/>
      <c r="B116" s="16" t="s">
        <v>121</v>
      </c>
      <c r="C116" s="2"/>
      <c r="D116" s="5">
        <f>'FY2020 December Account'!F116</f>
        <v>12000</v>
      </c>
      <c r="E116" s="6">
        <f>SUM(E113:E115)</f>
        <v>0</v>
      </c>
      <c r="F116" s="21">
        <f>(D116-E116)</f>
        <v>12000</v>
      </c>
      <c r="G116" s="374"/>
    </row>
    <row r="117" spans="1:7" x14ac:dyDescent="0.25">
      <c r="A117" s="374"/>
      <c r="B117" s="20"/>
      <c r="C117" s="3"/>
      <c r="D117" s="3"/>
      <c r="E117" s="3"/>
      <c r="F117" s="19"/>
      <c r="G117" s="374"/>
    </row>
    <row r="118" spans="1:7" x14ac:dyDescent="0.25">
      <c r="A118" s="374"/>
      <c r="B118" s="47" t="s">
        <v>167</v>
      </c>
      <c r="C118" s="48"/>
      <c r="D118" s="49">
        <f>'FY2020 December Account'!F118</f>
        <v>53797.53</v>
      </c>
      <c r="E118" s="49">
        <f>SUM(E101, E106, E110, E116)</f>
        <v>1007.64</v>
      </c>
      <c r="F118" s="50">
        <f>(D118-E118)</f>
        <v>52789.89</v>
      </c>
      <c r="G118" s="374"/>
    </row>
    <row r="119" spans="1:7" x14ac:dyDescent="0.25">
      <c r="A119" s="374"/>
      <c r="B119" s="20"/>
      <c r="C119" s="3"/>
      <c r="D119" s="3"/>
      <c r="E119" s="3"/>
      <c r="F119" s="19"/>
      <c r="G119" s="374"/>
    </row>
    <row r="120" spans="1:7" x14ac:dyDescent="0.25">
      <c r="A120" s="374"/>
      <c r="B120" s="38" t="s">
        <v>131</v>
      </c>
      <c r="C120" s="39"/>
      <c r="D120" s="39"/>
      <c r="E120" s="39"/>
      <c r="F120" s="40"/>
      <c r="G120" s="374"/>
    </row>
    <row r="121" spans="1:7" x14ac:dyDescent="0.25">
      <c r="A121" s="374"/>
      <c r="B121" s="18"/>
      <c r="C121" s="3"/>
      <c r="D121" s="3"/>
      <c r="E121" s="3"/>
      <c r="F121" s="19"/>
      <c r="G121" s="374"/>
    </row>
    <row r="122" spans="1:7" x14ac:dyDescent="0.25">
      <c r="A122" s="374"/>
      <c r="B122" s="13" t="s">
        <v>122</v>
      </c>
      <c r="C122" s="2"/>
      <c r="D122" s="2"/>
      <c r="E122" s="2"/>
      <c r="F122" s="14"/>
      <c r="G122" s="374"/>
    </row>
    <row r="123" spans="1:7" x14ac:dyDescent="0.25">
      <c r="A123" s="374"/>
      <c r="B123" s="20"/>
      <c r="C123" s="3" t="s">
        <v>123</v>
      </c>
      <c r="D123" s="4">
        <f>'FY2020 December Account'!F123</f>
        <v>18678.830000000002</v>
      </c>
      <c r="E123" s="4">
        <f>SUMIFS(TraFY2020Jan[[ Amount]],TraFY2020Jan[[ Acct Desc]], "Fiscal Agent*")</f>
        <v>0</v>
      </c>
      <c r="F123" s="15">
        <f t="shared" ref="F123" si="11">(D123-E123)</f>
        <v>18678.830000000002</v>
      </c>
      <c r="G123" s="374"/>
    </row>
    <row r="124" spans="1:7" x14ac:dyDescent="0.25">
      <c r="A124" s="374"/>
      <c r="B124" s="16" t="s">
        <v>124</v>
      </c>
      <c r="C124" s="2"/>
      <c r="D124" s="5">
        <f>'FY2020 December Account'!F124</f>
        <v>18678.830000000002</v>
      </c>
      <c r="E124" s="6">
        <f>SUM(E123:E123)</f>
        <v>0</v>
      </c>
      <c r="F124" s="21">
        <f>(D124-E124)</f>
        <v>18678.830000000002</v>
      </c>
      <c r="G124" s="374"/>
    </row>
    <row r="125" spans="1:7" x14ac:dyDescent="0.25">
      <c r="A125" s="374"/>
      <c r="B125" s="20"/>
      <c r="C125" s="3"/>
      <c r="D125" s="3"/>
      <c r="E125" s="3"/>
      <c r="F125" s="19"/>
      <c r="G125" s="374"/>
    </row>
    <row r="126" spans="1:7" x14ac:dyDescent="0.25">
      <c r="A126" s="374"/>
      <c r="B126" s="37" t="s">
        <v>125</v>
      </c>
      <c r="C126" s="41"/>
      <c r="D126" s="42">
        <f>'FY2020 December Account'!F126</f>
        <v>18678.830000000002</v>
      </c>
      <c r="E126" s="42">
        <f>SUM(E124)</f>
        <v>0</v>
      </c>
      <c r="F126" s="43">
        <f>(D126-E126)</f>
        <v>18678.830000000002</v>
      </c>
      <c r="G126" s="374"/>
    </row>
    <row r="127" spans="1:7" x14ac:dyDescent="0.25">
      <c r="A127" s="374"/>
      <c r="B127" s="23"/>
      <c r="C127" s="7"/>
      <c r="D127" s="7"/>
      <c r="E127" s="7"/>
      <c r="F127" s="24"/>
      <c r="G127" s="374"/>
    </row>
    <row r="128" spans="1:7" x14ac:dyDescent="0.25">
      <c r="A128" s="374"/>
      <c r="B128" s="23"/>
      <c r="C128" s="7"/>
      <c r="D128" s="7"/>
      <c r="E128" s="7"/>
      <c r="F128" s="24"/>
      <c r="G128" s="374"/>
    </row>
    <row r="129" spans="1:7" ht="15.75" x14ac:dyDescent="0.25">
      <c r="A129" s="374"/>
      <c r="B129" s="25" t="s">
        <v>2463</v>
      </c>
      <c r="C129" s="8"/>
      <c r="D129" s="9"/>
      <c r="E129" s="10">
        <f>SUM(E34)</f>
        <v>390.65</v>
      </c>
      <c r="F129" s="26"/>
      <c r="G129" s="374"/>
    </row>
    <row r="130" spans="1:7" ht="15.75" x14ac:dyDescent="0.25">
      <c r="A130" s="374"/>
      <c r="B130" s="25" t="s">
        <v>2464</v>
      </c>
      <c r="C130" s="8"/>
      <c r="D130" s="9"/>
      <c r="E130" s="10">
        <f>SUM(E64, E79, E95, E118, E126)</f>
        <v>13086.32</v>
      </c>
      <c r="F130" s="26"/>
      <c r="G130" s="374"/>
    </row>
    <row r="131" spans="1:7" ht="16.5" thickBot="1" x14ac:dyDescent="0.3">
      <c r="A131" s="374"/>
      <c r="B131" s="27" t="s">
        <v>2465</v>
      </c>
      <c r="C131" s="28"/>
      <c r="D131" s="29"/>
      <c r="E131" s="30">
        <f>(E129-E130)</f>
        <v>-12695.67</v>
      </c>
      <c r="F131" s="31"/>
      <c r="G131" s="374"/>
    </row>
    <row r="132" spans="1:7" ht="15.75" thickBot="1" x14ac:dyDescent="0.3">
      <c r="A132" s="375" t="b">
        <f>IF(($E$129+$E$130)=(SUM('FY2020 January Transactions'!E:E)),TRUE,FALSE)</f>
        <v>1</v>
      </c>
      <c r="B132" s="376"/>
      <c r="C132" s="376"/>
      <c r="D132" s="376"/>
      <c r="E132" s="376"/>
      <c r="F132" s="376"/>
      <c r="G132" s="377"/>
    </row>
    <row r="133" spans="1:7" x14ac:dyDescent="0.25">
      <c r="F133" s="93"/>
    </row>
    <row r="134" spans="1:7" x14ac:dyDescent="0.25">
      <c r="C134" s="93"/>
    </row>
    <row r="135" spans="1:7" x14ac:dyDescent="0.25">
      <c r="E135" s="93"/>
    </row>
    <row r="138" spans="1:7" x14ac:dyDescent="0.25">
      <c r="E138" s="93"/>
    </row>
  </sheetData>
  <mergeCells count="7">
    <mergeCell ref="A132:G132"/>
    <mergeCell ref="A1:G1"/>
    <mergeCell ref="A2:A131"/>
    <mergeCell ref="B2:F3"/>
    <mergeCell ref="G2:G131"/>
    <mergeCell ref="B6:F6"/>
    <mergeCell ref="B36:F36"/>
  </mergeCells>
  <conditionalFormatting sqref="A1">
    <cfRule type="cellIs" dxfId="479" priority="8" operator="equal">
      <formula>TRUE</formula>
    </cfRule>
  </conditionalFormatting>
  <conditionalFormatting sqref="A1:A91 G2:G91 G93:G104 A93:A104 A106:A131 G106:G131">
    <cfRule type="cellIs" dxfId="478" priority="7" operator="equal">
      <formula>FALSE</formula>
    </cfRule>
  </conditionalFormatting>
  <conditionalFormatting sqref="A132:G132 G2:G91 A2:A91 A93:A104 G93:G104 G106:G131 A106:A131">
    <cfRule type="cellIs" dxfId="477" priority="6" operator="equal">
      <formula>TRUE</formula>
    </cfRule>
  </conditionalFormatting>
  <conditionalFormatting sqref="A132:G132">
    <cfRule type="cellIs" dxfId="476" priority="5" operator="equal">
      <formula>FALSE</formula>
    </cfRule>
  </conditionalFormatting>
  <conditionalFormatting sqref="A92 G92">
    <cfRule type="cellIs" dxfId="475" priority="4" operator="equal">
      <formula>FALSE</formula>
    </cfRule>
  </conditionalFormatting>
  <conditionalFormatting sqref="G92 A92">
    <cfRule type="cellIs" dxfId="474" priority="3" operator="equal">
      <formula>TRUE</formula>
    </cfRule>
  </conditionalFormatting>
  <conditionalFormatting sqref="A105 G105">
    <cfRule type="cellIs" dxfId="473" priority="2" operator="equal">
      <formula>FALSE</formula>
    </cfRule>
  </conditionalFormatting>
  <conditionalFormatting sqref="G105 A105">
    <cfRule type="cellIs" dxfId="472" priority="1" operator="equal">
      <formula>TRUE</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D7FB2-EF1C-4EF1-939D-0B15F306F138}">
  <dimension ref="A1:F61"/>
  <sheetViews>
    <sheetView workbookViewId="0">
      <selection activeCell="D5" sqref="D5"/>
    </sheetView>
  </sheetViews>
  <sheetFormatPr defaultRowHeight="15" x14ac:dyDescent="0.25"/>
  <cols>
    <col min="1" max="1" width="10.7109375" style="36" customWidth="1"/>
    <col min="2" max="6" width="35.7109375" style="36" customWidth="1"/>
    <col min="7" max="16384" width="9.140625" style="36"/>
  </cols>
  <sheetData>
    <row r="1" spans="1:6" ht="16.5" x14ac:dyDescent="0.3">
      <c r="A1" s="91" t="s">
        <v>0</v>
      </c>
      <c r="B1" s="91" t="s">
        <v>1</v>
      </c>
      <c r="C1" s="91" t="s">
        <v>2</v>
      </c>
      <c r="D1" s="91" t="s">
        <v>3</v>
      </c>
      <c r="E1" s="91" t="s">
        <v>4</v>
      </c>
      <c r="F1" s="92" t="s">
        <v>5</v>
      </c>
    </row>
    <row r="2" spans="1:6" ht="15.75" x14ac:dyDescent="0.25">
      <c r="A2" s="35">
        <v>587890</v>
      </c>
      <c r="B2" s="35" t="s">
        <v>32</v>
      </c>
      <c r="C2" s="35" t="s">
        <v>2396</v>
      </c>
      <c r="D2" s="35" t="s">
        <v>2397</v>
      </c>
      <c r="E2" s="35">
        <v>500</v>
      </c>
      <c r="F2" s="34">
        <v>43832</v>
      </c>
    </row>
    <row r="3" spans="1:6" ht="15.75" x14ac:dyDescent="0.25">
      <c r="A3" s="35">
        <v>587890</v>
      </c>
      <c r="B3" s="35" t="s">
        <v>32</v>
      </c>
      <c r="C3" s="35" t="s">
        <v>1715</v>
      </c>
      <c r="D3" s="35" t="s">
        <v>2398</v>
      </c>
      <c r="E3" s="35">
        <v>90</v>
      </c>
      <c r="F3" s="34">
        <v>43836</v>
      </c>
    </row>
    <row r="4" spans="1:6" ht="15.75" x14ac:dyDescent="0.25">
      <c r="A4" s="35">
        <v>527510</v>
      </c>
      <c r="B4" s="35" t="s">
        <v>671</v>
      </c>
      <c r="C4" s="35" t="s">
        <v>711</v>
      </c>
      <c r="D4" s="35" t="s">
        <v>2399</v>
      </c>
      <c r="E4" s="35">
        <v>227.9</v>
      </c>
      <c r="F4" s="34">
        <v>43837</v>
      </c>
    </row>
    <row r="5" spans="1:6" ht="15.75" x14ac:dyDescent="0.25">
      <c r="A5" s="35">
        <v>526742</v>
      </c>
      <c r="B5" s="35" t="s">
        <v>26</v>
      </c>
      <c r="C5" s="35" t="s">
        <v>1410</v>
      </c>
      <c r="D5" s="35" t="s">
        <v>2400</v>
      </c>
      <c r="E5" s="35">
        <v>16.190000000000001</v>
      </c>
      <c r="F5" s="34">
        <v>43840</v>
      </c>
    </row>
    <row r="6" spans="1:6" ht="15.75" x14ac:dyDescent="0.25">
      <c r="A6" s="35">
        <v>558979</v>
      </c>
      <c r="B6" s="35" t="s">
        <v>150</v>
      </c>
      <c r="C6" s="35" t="s">
        <v>2002</v>
      </c>
      <c r="D6" s="35" t="s">
        <v>2401</v>
      </c>
      <c r="E6" s="35">
        <v>225</v>
      </c>
      <c r="F6" s="34">
        <v>43843</v>
      </c>
    </row>
    <row r="7" spans="1:6" ht="15.75" x14ac:dyDescent="0.25">
      <c r="A7" s="35">
        <v>558979</v>
      </c>
      <c r="B7" s="35" t="s">
        <v>150</v>
      </c>
      <c r="C7" s="35" t="s">
        <v>2214</v>
      </c>
      <c r="D7" s="35" t="s">
        <v>2402</v>
      </c>
      <c r="E7" s="35">
        <v>125</v>
      </c>
      <c r="F7" s="34">
        <v>43843</v>
      </c>
    </row>
    <row r="8" spans="1:6" ht="15.75" x14ac:dyDescent="0.25">
      <c r="A8" s="35">
        <v>558979</v>
      </c>
      <c r="B8" s="35" t="s">
        <v>150</v>
      </c>
      <c r="C8" s="35" t="s">
        <v>1531</v>
      </c>
      <c r="D8" s="35" t="s">
        <v>2403</v>
      </c>
      <c r="E8" s="35">
        <v>200</v>
      </c>
      <c r="F8" s="34">
        <v>43843</v>
      </c>
    </row>
    <row r="9" spans="1:6" ht="15.75" x14ac:dyDescent="0.25">
      <c r="A9" s="35">
        <v>558979</v>
      </c>
      <c r="B9" s="35" t="s">
        <v>150</v>
      </c>
      <c r="C9" s="35" t="s">
        <v>2220</v>
      </c>
      <c r="D9" s="35" t="s">
        <v>2404</v>
      </c>
      <c r="E9" s="35">
        <v>125</v>
      </c>
      <c r="F9" s="34">
        <v>43843</v>
      </c>
    </row>
    <row r="10" spans="1:6" ht="15.75" x14ac:dyDescent="0.25">
      <c r="A10" s="35">
        <v>558979</v>
      </c>
      <c r="B10" s="35" t="s">
        <v>150</v>
      </c>
      <c r="C10" s="35" t="s">
        <v>15</v>
      </c>
      <c r="D10" s="35" t="s">
        <v>2405</v>
      </c>
      <c r="E10" s="35">
        <v>200</v>
      </c>
      <c r="F10" s="34">
        <v>43843</v>
      </c>
    </row>
    <row r="11" spans="1:6" ht="15.75" x14ac:dyDescent="0.25">
      <c r="A11" s="35">
        <v>558979</v>
      </c>
      <c r="B11" s="35" t="s">
        <v>150</v>
      </c>
      <c r="C11" s="35" t="s">
        <v>2227</v>
      </c>
      <c r="D11" s="35" t="s">
        <v>2406</v>
      </c>
      <c r="E11" s="35">
        <v>125</v>
      </c>
      <c r="F11" s="34">
        <v>43843</v>
      </c>
    </row>
    <row r="12" spans="1:6" ht="15.75" x14ac:dyDescent="0.25">
      <c r="A12" s="35">
        <v>558979</v>
      </c>
      <c r="B12" s="35" t="s">
        <v>150</v>
      </c>
      <c r="C12" s="35" t="s">
        <v>2208</v>
      </c>
      <c r="D12" s="35" t="s">
        <v>2407</v>
      </c>
      <c r="E12" s="35">
        <v>125</v>
      </c>
      <c r="F12" s="34">
        <v>43843</v>
      </c>
    </row>
    <row r="13" spans="1:6" ht="15.75" x14ac:dyDescent="0.25">
      <c r="A13" s="35">
        <v>558979</v>
      </c>
      <c r="B13" s="35" t="s">
        <v>150</v>
      </c>
      <c r="C13" s="35" t="s">
        <v>2236</v>
      </c>
      <c r="D13" s="35" t="s">
        <v>2408</v>
      </c>
      <c r="E13" s="35">
        <v>125</v>
      </c>
      <c r="F13" s="34">
        <v>43843</v>
      </c>
    </row>
    <row r="14" spans="1:6" ht="15.75" x14ac:dyDescent="0.25">
      <c r="A14" s="35">
        <v>558979</v>
      </c>
      <c r="B14" s="35" t="s">
        <v>150</v>
      </c>
      <c r="C14" s="35" t="s">
        <v>281</v>
      </c>
      <c r="D14" s="35" t="s">
        <v>2409</v>
      </c>
      <c r="E14" s="35">
        <v>650</v>
      </c>
      <c r="F14" s="34">
        <v>43843</v>
      </c>
    </row>
    <row r="15" spans="1:6" ht="15.75" x14ac:dyDescent="0.25">
      <c r="A15" s="35">
        <v>558979</v>
      </c>
      <c r="B15" s="35" t="s">
        <v>150</v>
      </c>
      <c r="C15" s="35" t="s">
        <v>1493</v>
      </c>
      <c r="D15" s="35" t="s">
        <v>2410</v>
      </c>
      <c r="E15" s="35">
        <v>200</v>
      </c>
      <c r="F15" s="34">
        <v>43843</v>
      </c>
    </row>
    <row r="16" spans="1:6" ht="15.75" x14ac:dyDescent="0.25">
      <c r="A16" s="35">
        <v>558979</v>
      </c>
      <c r="B16" s="35" t="s">
        <v>150</v>
      </c>
      <c r="C16" s="35" t="s">
        <v>2203</v>
      </c>
      <c r="D16" s="35" t="s">
        <v>2411</v>
      </c>
      <c r="E16" s="35">
        <v>125</v>
      </c>
      <c r="F16" s="34">
        <v>43843</v>
      </c>
    </row>
    <row r="17" spans="1:6" ht="15.75" x14ac:dyDescent="0.25">
      <c r="A17" s="35">
        <v>558979</v>
      </c>
      <c r="B17" s="35" t="s">
        <v>150</v>
      </c>
      <c r="C17" s="35" t="s">
        <v>2206</v>
      </c>
      <c r="D17" s="35" t="s">
        <v>2412</v>
      </c>
      <c r="E17" s="35">
        <v>125</v>
      </c>
      <c r="F17" s="34">
        <v>43843</v>
      </c>
    </row>
    <row r="18" spans="1:6" ht="15.75" x14ac:dyDescent="0.25">
      <c r="A18" s="35">
        <v>558979</v>
      </c>
      <c r="B18" s="35" t="s">
        <v>150</v>
      </c>
      <c r="C18" s="35" t="s">
        <v>21</v>
      </c>
      <c r="D18" s="35" t="s">
        <v>2413</v>
      </c>
      <c r="E18" s="35">
        <v>200</v>
      </c>
      <c r="F18" s="34">
        <v>43843</v>
      </c>
    </row>
    <row r="19" spans="1:6" ht="15.75" x14ac:dyDescent="0.25">
      <c r="A19" s="35">
        <v>558979</v>
      </c>
      <c r="B19" s="35" t="s">
        <v>150</v>
      </c>
      <c r="C19" s="35" t="s">
        <v>1533</v>
      </c>
      <c r="D19" s="35" t="s">
        <v>2414</v>
      </c>
      <c r="E19" s="35">
        <v>125</v>
      </c>
      <c r="F19" s="34">
        <v>43843</v>
      </c>
    </row>
    <row r="20" spans="1:6" ht="15.75" x14ac:dyDescent="0.25">
      <c r="A20" s="35">
        <v>558979</v>
      </c>
      <c r="B20" s="35" t="s">
        <v>150</v>
      </c>
      <c r="C20" s="35" t="s">
        <v>1410</v>
      </c>
      <c r="D20" s="35" t="s">
        <v>2415</v>
      </c>
      <c r="E20" s="35">
        <v>200</v>
      </c>
      <c r="F20" s="34">
        <v>43843</v>
      </c>
    </row>
    <row r="21" spans="1:6" ht="15.75" x14ac:dyDescent="0.25">
      <c r="A21" s="35">
        <v>558979</v>
      </c>
      <c r="B21" s="35" t="s">
        <v>150</v>
      </c>
      <c r="C21" s="35" t="s">
        <v>2211</v>
      </c>
      <c r="D21" s="35" t="s">
        <v>2416</v>
      </c>
      <c r="E21" s="35">
        <v>125</v>
      </c>
      <c r="F21" s="34">
        <v>43843</v>
      </c>
    </row>
    <row r="22" spans="1:6" ht="15.75" x14ac:dyDescent="0.25">
      <c r="A22" s="35">
        <v>558979</v>
      </c>
      <c r="B22" s="35" t="s">
        <v>150</v>
      </c>
      <c r="C22" s="35" t="s">
        <v>2186</v>
      </c>
      <c r="D22" s="35" t="s">
        <v>2417</v>
      </c>
      <c r="E22" s="35">
        <v>125</v>
      </c>
      <c r="F22" s="34">
        <v>43843</v>
      </c>
    </row>
    <row r="23" spans="1:6" ht="15.75" x14ac:dyDescent="0.25">
      <c r="A23" s="35">
        <v>558979</v>
      </c>
      <c r="B23" s="35" t="s">
        <v>150</v>
      </c>
      <c r="C23" s="35" t="s">
        <v>2163</v>
      </c>
      <c r="D23" s="35" t="s">
        <v>2418</v>
      </c>
      <c r="E23" s="35">
        <v>125</v>
      </c>
      <c r="F23" s="34">
        <v>43843</v>
      </c>
    </row>
    <row r="24" spans="1:6" ht="15.75" x14ac:dyDescent="0.25">
      <c r="A24" s="35">
        <v>558979</v>
      </c>
      <c r="B24" s="35" t="s">
        <v>150</v>
      </c>
      <c r="C24" s="35" t="s">
        <v>1304</v>
      </c>
      <c r="D24" s="35" t="s">
        <v>2419</v>
      </c>
      <c r="E24" s="35">
        <v>400</v>
      </c>
      <c r="F24" s="34">
        <v>43843</v>
      </c>
    </row>
    <row r="25" spans="1:6" ht="15.75" x14ac:dyDescent="0.25">
      <c r="A25" s="35">
        <v>558979</v>
      </c>
      <c r="B25" s="35" t="s">
        <v>150</v>
      </c>
      <c r="C25" s="35" t="s">
        <v>2233</v>
      </c>
      <c r="D25" s="35" t="s">
        <v>2420</v>
      </c>
      <c r="E25" s="35">
        <v>125</v>
      </c>
      <c r="F25" s="34">
        <v>43843</v>
      </c>
    </row>
    <row r="26" spans="1:6" ht="15.75" x14ac:dyDescent="0.25">
      <c r="A26" s="35">
        <v>558979</v>
      </c>
      <c r="B26" s="35" t="s">
        <v>150</v>
      </c>
      <c r="C26" s="35" t="s">
        <v>2157</v>
      </c>
      <c r="D26" s="35" t="s">
        <v>2421</v>
      </c>
      <c r="E26" s="35">
        <v>125</v>
      </c>
      <c r="F26" s="34">
        <v>43843</v>
      </c>
    </row>
    <row r="27" spans="1:6" ht="15.75" x14ac:dyDescent="0.25">
      <c r="A27" s="35">
        <v>558979</v>
      </c>
      <c r="B27" s="35" t="s">
        <v>150</v>
      </c>
      <c r="C27" s="35" t="s">
        <v>2224</v>
      </c>
      <c r="D27" s="35" t="s">
        <v>2422</v>
      </c>
      <c r="E27" s="35">
        <v>125</v>
      </c>
      <c r="F27" s="34">
        <v>43843</v>
      </c>
    </row>
    <row r="28" spans="1:6" ht="15.75" x14ac:dyDescent="0.25">
      <c r="A28" s="35">
        <v>558979</v>
      </c>
      <c r="B28" s="35" t="s">
        <v>150</v>
      </c>
      <c r="C28" s="35" t="s">
        <v>2229</v>
      </c>
      <c r="D28" s="35" t="s">
        <v>2423</v>
      </c>
      <c r="E28" s="35">
        <v>125</v>
      </c>
      <c r="F28" s="34">
        <v>43843</v>
      </c>
    </row>
    <row r="29" spans="1:6" ht="15.75" x14ac:dyDescent="0.25">
      <c r="A29" s="35">
        <v>558979</v>
      </c>
      <c r="B29" s="35" t="s">
        <v>150</v>
      </c>
      <c r="C29" s="35" t="s">
        <v>2222</v>
      </c>
      <c r="D29" s="35" t="s">
        <v>2424</v>
      </c>
      <c r="E29" s="35">
        <v>125</v>
      </c>
      <c r="F29" s="34">
        <v>43843</v>
      </c>
    </row>
    <row r="30" spans="1:6" ht="15.75" x14ac:dyDescent="0.25">
      <c r="A30" s="35">
        <v>558979</v>
      </c>
      <c r="B30" s="35" t="s">
        <v>150</v>
      </c>
      <c r="C30" s="35" t="s">
        <v>1431</v>
      </c>
      <c r="D30" s="35" t="s">
        <v>2425</v>
      </c>
      <c r="E30" s="35">
        <v>200</v>
      </c>
      <c r="F30" s="34">
        <v>43843</v>
      </c>
    </row>
    <row r="31" spans="1:6" ht="15.75" x14ac:dyDescent="0.25">
      <c r="A31" s="35">
        <v>558979</v>
      </c>
      <c r="B31" s="35" t="s">
        <v>150</v>
      </c>
      <c r="C31" s="35" t="s">
        <v>2216</v>
      </c>
      <c r="D31" s="35" t="s">
        <v>2426</v>
      </c>
      <c r="E31" s="35">
        <v>125</v>
      </c>
      <c r="F31" s="34">
        <v>43843</v>
      </c>
    </row>
    <row r="32" spans="1:6" ht="15.75" x14ac:dyDescent="0.25">
      <c r="A32" s="35">
        <v>531110</v>
      </c>
      <c r="B32" s="35" t="s">
        <v>27</v>
      </c>
      <c r="C32" s="35" t="s">
        <v>28</v>
      </c>
      <c r="D32" s="35" t="s">
        <v>2427</v>
      </c>
      <c r="E32" s="35">
        <v>15.64</v>
      </c>
      <c r="F32" s="34">
        <v>43853</v>
      </c>
    </row>
    <row r="33" spans="1:6" ht="15.75" x14ac:dyDescent="0.25">
      <c r="A33" s="35">
        <v>526712</v>
      </c>
      <c r="B33" s="35" t="s">
        <v>14</v>
      </c>
      <c r="C33" s="35" t="s">
        <v>281</v>
      </c>
      <c r="D33" s="35" t="s">
        <v>2428</v>
      </c>
      <c r="E33" s="35">
        <v>57.52</v>
      </c>
      <c r="F33" s="34">
        <v>43854</v>
      </c>
    </row>
    <row r="34" spans="1:6" ht="15.75" x14ac:dyDescent="0.25">
      <c r="A34" s="35">
        <v>587890</v>
      </c>
      <c r="B34" s="35" t="s">
        <v>32</v>
      </c>
      <c r="C34" s="35" t="s">
        <v>2429</v>
      </c>
      <c r="D34" s="35" t="s">
        <v>2430</v>
      </c>
      <c r="E34" s="35">
        <v>149.47</v>
      </c>
      <c r="F34" s="34">
        <v>43854</v>
      </c>
    </row>
    <row r="35" spans="1:6" ht="15.75" x14ac:dyDescent="0.25">
      <c r="A35" s="35">
        <v>526712</v>
      </c>
      <c r="B35" s="35" t="s">
        <v>14</v>
      </c>
      <c r="C35" s="35" t="s">
        <v>2250</v>
      </c>
      <c r="D35" s="35" t="s">
        <v>2431</v>
      </c>
      <c r="E35" s="35">
        <v>151.80000000000001</v>
      </c>
      <c r="F35" s="34">
        <v>43857</v>
      </c>
    </row>
    <row r="36" spans="1:6" ht="15.75" x14ac:dyDescent="0.25">
      <c r="A36" s="35">
        <v>526712</v>
      </c>
      <c r="B36" s="35" t="s">
        <v>14</v>
      </c>
      <c r="C36" s="35" t="s">
        <v>2206</v>
      </c>
      <c r="D36" s="35" t="s">
        <v>2432</v>
      </c>
      <c r="E36" s="35">
        <v>53.46</v>
      </c>
      <c r="F36" s="34">
        <v>43857</v>
      </c>
    </row>
    <row r="37" spans="1:6" ht="15.75" x14ac:dyDescent="0.25">
      <c r="A37" s="35">
        <v>526712</v>
      </c>
      <c r="B37" s="35" t="s">
        <v>14</v>
      </c>
      <c r="C37" s="35" t="s">
        <v>2163</v>
      </c>
      <c r="D37" s="35" t="s">
        <v>2433</v>
      </c>
      <c r="E37" s="35">
        <v>57.76</v>
      </c>
      <c r="F37" s="34">
        <v>43857</v>
      </c>
    </row>
    <row r="38" spans="1:6" ht="15.75" x14ac:dyDescent="0.25">
      <c r="A38" s="35">
        <v>526712</v>
      </c>
      <c r="B38" s="35" t="s">
        <v>14</v>
      </c>
      <c r="C38" s="35" t="s">
        <v>2261</v>
      </c>
      <c r="D38" s="35" t="s">
        <v>2434</v>
      </c>
      <c r="E38" s="35">
        <v>95.04</v>
      </c>
      <c r="F38" s="34">
        <v>43857</v>
      </c>
    </row>
    <row r="39" spans="1:6" ht="15.75" x14ac:dyDescent="0.25">
      <c r="A39" s="35">
        <v>526712</v>
      </c>
      <c r="B39" s="35" t="s">
        <v>14</v>
      </c>
      <c r="C39" s="35" t="s">
        <v>2160</v>
      </c>
      <c r="D39" s="35" t="s">
        <v>2435</v>
      </c>
      <c r="E39" s="35">
        <v>57.52</v>
      </c>
      <c r="F39" s="34">
        <v>43858</v>
      </c>
    </row>
    <row r="40" spans="1:6" ht="15.75" x14ac:dyDescent="0.25">
      <c r="A40" s="35">
        <v>526712</v>
      </c>
      <c r="B40" s="35" t="s">
        <v>14</v>
      </c>
      <c r="C40" s="35" t="s">
        <v>1304</v>
      </c>
      <c r="D40" s="35" t="s">
        <v>2436</v>
      </c>
      <c r="E40" s="35">
        <v>53.46</v>
      </c>
      <c r="F40" s="34">
        <v>43858</v>
      </c>
    </row>
    <row r="41" spans="1:6" ht="15.75" x14ac:dyDescent="0.25">
      <c r="A41" s="35">
        <v>526712</v>
      </c>
      <c r="B41" s="35" t="s">
        <v>14</v>
      </c>
      <c r="C41" s="35" t="s">
        <v>21</v>
      </c>
      <c r="D41" s="35" t="s">
        <v>2437</v>
      </c>
      <c r="E41" s="35">
        <v>40.92</v>
      </c>
      <c r="F41" s="34">
        <v>43858</v>
      </c>
    </row>
    <row r="42" spans="1:6" ht="15.75" x14ac:dyDescent="0.25">
      <c r="A42" s="35">
        <v>526712</v>
      </c>
      <c r="B42" s="35" t="s">
        <v>14</v>
      </c>
      <c r="C42" s="35" t="s">
        <v>2039</v>
      </c>
      <c r="D42" s="35" t="s">
        <v>2438</v>
      </c>
      <c r="E42" s="35">
        <v>99</v>
      </c>
      <c r="F42" s="34">
        <v>43858</v>
      </c>
    </row>
    <row r="43" spans="1:6" ht="15.75" x14ac:dyDescent="0.25">
      <c r="A43" s="35">
        <v>526712</v>
      </c>
      <c r="B43" s="35" t="s">
        <v>14</v>
      </c>
      <c r="C43" s="35" t="s">
        <v>2157</v>
      </c>
      <c r="D43" s="35" t="s">
        <v>2439</v>
      </c>
      <c r="E43" s="35">
        <v>177.54</v>
      </c>
      <c r="F43" s="34">
        <v>43858</v>
      </c>
    </row>
    <row r="44" spans="1:6" ht="15.75" x14ac:dyDescent="0.25">
      <c r="A44" s="35">
        <v>526712</v>
      </c>
      <c r="B44" s="35" t="s">
        <v>14</v>
      </c>
      <c r="C44" s="35" t="s">
        <v>2080</v>
      </c>
      <c r="D44" s="35" t="s">
        <v>2440</v>
      </c>
      <c r="E44" s="35">
        <v>129.36000000000001</v>
      </c>
      <c r="F44" s="34">
        <v>43858</v>
      </c>
    </row>
    <row r="45" spans="1:6" ht="15.75" x14ac:dyDescent="0.25">
      <c r="A45" s="35">
        <v>526712</v>
      </c>
      <c r="B45" s="35" t="s">
        <v>14</v>
      </c>
      <c r="C45" s="35" t="s">
        <v>2350</v>
      </c>
      <c r="D45" s="35" t="s">
        <v>2441</v>
      </c>
      <c r="E45" s="35">
        <v>44.88</v>
      </c>
      <c r="F45" s="34">
        <v>43858</v>
      </c>
    </row>
    <row r="46" spans="1:6" ht="15.75" x14ac:dyDescent="0.25">
      <c r="A46" s="35">
        <v>526712</v>
      </c>
      <c r="B46" s="35" t="s">
        <v>14</v>
      </c>
      <c r="C46" s="35" t="s">
        <v>15</v>
      </c>
      <c r="D46" s="35" t="s">
        <v>2442</v>
      </c>
      <c r="E46" s="35">
        <v>53.46</v>
      </c>
      <c r="F46" s="34">
        <v>43858</v>
      </c>
    </row>
    <row r="47" spans="1:6" ht="15.75" x14ac:dyDescent="0.25">
      <c r="A47" s="35">
        <v>526712</v>
      </c>
      <c r="B47" s="35" t="s">
        <v>14</v>
      </c>
      <c r="C47" s="35" t="s">
        <v>1431</v>
      </c>
      <c r="D47" s="35" t="s">
        <v>2443</v>
      </c>
      <c r="E47" s="35">
        <v>66</v>
      </c>
      <c r="F47" s="34">
        <v>43858</v>
      </c>
    </row>
    <row r="48" spans="1:6" ht="15.75" x14ac:dyDescent="0.25">
      <c r="A48" s="35">
        <v>526712</v>
      </c>
      <c r="B48" s="35" t="s">
        <v>14</v>
      </c>
      <c r="C48" s="35" t="s">
        <v>2002</v>
      </c>
      <c r="D48" s="35" t="s">
        <v>2444</v>
      </c>
      <c r="E48" s="35">
        <v>66</v>
      </c>
      <c r="F48" s="34">
        <v>43858</v>
      </c>
    </row>
    <row r="49" spans="1:6" ht="15.75" x14ac:dyDescent="0.25">
      <c r="A49" s="35">
        <v>526712</v>
      </c>
      <c r="B49" s="35" t="s">
        <v>14</v>
      </c>
      <c r="C49" s="35" t="s">
        <v>1493</v>
      </c>
      <c r="D49" s="35" t="s">
        <v>2445</v>
      </c>
      <c r="E49" s="35">
        <v>57.52</v>
      </c>
      <c r="F49" s="34">
        <v>43858</v>
      </c>
    </row>
    <row r="50" spans="1:6" ht="15.75" x14ac:dyDescent="0.25">
      <c r="A50" s="35">
        <v>526712</v>
      </c>
      <c r="B50" s="35" t="s">
        <v>14</v>
      </c>
      <c r="C50" s="35" t="s">
        <v>2313</v>
      </c>
      <c r="D50" s="35" t="s">
        <v>2446</v>
      </c>
      <c r="E50" s="35">
        <v>6.92</v>
      </c>
      <c r="F50" s="34">
        <v>43858</v>
      </c>
    </row>
    <row r="51" spans="1:6" ht="15.75" x14ac:dyDescent="0.25">
      <c r="A51" s="35">
        <v>526712</v>
      </c>
      <c r="B51" s="35" t="s">
        <v>14</v>
      </c>
      <c r="C51" s="35" t="s">
        <v>2447</v>
      </c>
      <c r="D51" s="35" t="s">
        <v>2448</v>
      </c>
      <c r="E51" s="35">
        <v>129.36000000000001</v>
      </c>
      <c r="F51" s="34">
        <v>43859</v>
      </c>
    </row>
    <row r="52" spans="1:6" ht="15.75" x14ac:dyDescent="0.25">
      <c r="A52" s="35">
        <v>526712</v>
      </c>
      <c r="B52" s="35" t="s">
        <v>14</v>
      </c>
      <c r="C52" s="35" t="s">
        <v>2449</v>
      </c>
      <c r="D52" s="35" t="s">
        <v>2450</v>
      </c>
      <c r="E52" s="35">
        <v>122.76</v>
      </c>
      <c r="F52" s="34">
        <v>43859</v>
      </c>
    </row>
    <row r="53" spans="1:6" ht="15.75" x14ac:dyDescent="0.25">
      <c r="A53" s="35">
        <v>587890</v>
      </c>
      <c r="B53" s="35" t="s">
        <v>32</v>
      </c>
      <c r="C53" s="35" t="s">
        <v>2451</v>
      </c>
      <c r="D53" s="35" t="s">
        <v>2452</v>
      </c>
      <c r="E53" s="35">
        <v>175</v>
      </c>
      <c r="F53" s="34">
        <v>43860</v>
      </c>
    </row>
    <row r="54" spans="1:6" ht="15.75" x14ac:dyDescent="0.25">
      <c r="A54" s="35">
        <v>587890</v>
      </c>
      <c r="B54" s="35" t="s">
        <v>32</v>
      </c>
      <c r="C54" s="35" t="s">
        <v>348</v>
      </c>
      <c r="D54" s="35" t="s">
        <v>2453</v>
      </c>
      <c r="E54" s="35">
        <v>93.17</v>
      </c>
      <c r="F54" s="34">
        <v>43860</v>
      </c>
    </row>
    <row r="55" spans="1:6" ht="15.75" x14ac:dyDescent="0.25">
      <c r="A55" s="35">
        <v>511120</v>
      </c>
      <c r="B55" s="35" t="s">
        <v>6</v>
      </c>
      <c r="C55" s="35" t="s">
        <v>7</v>
      </c>
      <c r="D55" s="35" t="s">
        <v>2454</v>
      </c>
      <c r="E55" s="35">
        <v>4416.6400000000003</v>
      </c>
      <c r="F55" s="34">
        <v>43861</v>
      </c>
    </row>
    <row r="56" spans="1:6" ht="15.75" x14ac:dyDescent="0.25">
      <c r="A56" s="35">
        <v>515120</v>
      </c>
      <c r="B56" s="35" t="s">
        <v>9</v>
      </c>
      <c r="C56" s="35" t="s">
        <v>7</v>
      </c>
      <c r="D56" s="35" t="s">
        <v>2454</v>
      </c>
      <c r="E56" s="35">
        <v>269.29000000000002</v>
      </c>
      <c r="F56" s="34">
        <v>43861</v>
      </c>
    </row>
    <row r="57" spans="1:6" ht="15.75" x14ac:dyDescent="0.25">
      <c r="A57" s="35">
        <v>515130</v>
      </c>
      <c r="B57" s="35" t="s">
        <v>10</v>
      </c>
      <c r="C57" s="35" t="s">
        <v>7</v>
      </c>
      <c r="D57" s="35" t="s">
        <v>2454</v>
      </c>
      <c r="E57" s="35">
        <v>62.98</v>
      </c>
      <c r="F57" s="34">
        <v>43861</v>
      </c>
    </row>
    <row r="58" spans="1:6" ht="15.75" x14ac:dyDescent="0.25">
      <c r="A58" s="35">
        <v>515410</v>
      </c>
      <c r="B58" s="35" t="s">
        <v>11</v>
      </c>
      <c r="C58" s="35" t="s">
        <v>7</v>
      </c>
      <c r="D58" s="35" t="s">
        <v>2454</v>
      </c>
      <c r="E58" s="35">
        <v>302.10000000000002</v>
      </c>
      <c r="F58" s="34">
        <v>43861</v>
      </c>
    </row>
    <row r="59" spans="1:6" ht="15.75" x14ac:dyDescent="0.25">
      <c r="A59" s="35">
        <v>515420</v>
      </c>
      <c r="B59" s="35" t="s">
        <v>12</v>
      </c>
      <c r="C59" s="35" t="s">
        <v>7</v>
      </c>
      <c r="D59" s="35" t="s">
        <v>2454</v>
      </c>
      <c r="E59" s="35">
        <v>290.17</v>
      </c>
      <c r="F59" s="34">
        <v>43861</v>
      </c>
    </row>
    <row r="60" spans="1:6" ht="15.75" x14ac:dyDescent="0.25">
      <c r="A60" s="35">
        <v>515530</v>
      </c>
      <c r="B60" s="35" t="s">
        <v>13</v>
      </c>
      <c r="C60" s="35" t="s">
        <v>7</v>
      </c>
      <c r="D60" s="35" t="s">
        <v>2454</v>
      </c>
      <c r="E60" s="35">
        <v>357.49</v>
      </c>
      <c r="F60" s="34">
        <v>43861</v>
      </c>
    </row>
    <row r="61" spans="1:6" ht="15.75" x14ac:dyDescent="0.25">
      <c r="A61" s="35">
        <v>431210</v>
      </c>
      <c r="B61" s="35" t="s">
        <v>33</v>
      </c>
      <c r="C61" s="35" t="s">
        <v>2542</v>
      </c>
      <c r="D61" s="35" t="s">
        <v>2543</v>
      </c>
      <c r="E61" s="35">
        <v>390.65</v>
      </c>
      <c r="F61" s="34">
        <v>43861</v>
      </c>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0B1D4-1E3B-4A2B-8692-CDEF3DB7FBCA}">
  <dimension ref="A1:G138"/>
  <sheetViews>
    <sheetView topLeftCell="A4" workbookViewId="0">
      <selection activeCell="D34" sqref="D34"/>
    </sheetView>
  </sheetViews>
  <sheetFormatPr defaultRowHeight="15" x14ac:dyDescent="0.25"/>
  <cols>
    <col min="1" max="1" width="3.28515625" style="36" customWidth="1"/>
    <col min="2" max="6" width="40.7109375" style="36" customWidth="1"/>
    <col min="7" max="7" width="3.28515625" style="36" customWidth="1"/>
    <col min="8" max="16384" width="9.140625" style="36"/>
  </cols>
  <sheetData>
    <row r="1" spans="1:7" ht="15.75" thickBot="1" x14ac:dyDescent="0.3">
      <c r="A1" s="371" t="b">
        <f>IF(($E$129+$E$130)=(SUM('FY2020 December Transactions'!E:E)),TRUE,FALSE)</f>
        <v>1</v>
      </c>
      <c r="B1" s="372"/>
      <c r="C1" s="372"/>
      <c r="D1" s="372"/>
      <c r="E1" s="372"/>
      <c r="F1" s="372"/>
      <c r="G1" s="373"/>
    </row>
    <row r="2" spans="1:7" ht="26.25" customHeight="1" x14ac:dyDescent="0.25">
      <c r="A2" s="374" t="b">
        <f>IF(($E$129+$E$130)=(SUM('FY2020 December Transactions'!E:E)),TRUE,FALSE)</f>
        <v>1</v>
      </c>
      <c r="B2" s="350" t="s">
        <v>2392</v>
      </c>
      <c r="C2" s="351"/>
      <c r="D2" s="351"/>
      <c r="E2" s="351"/>
      <c r="F2" s="352"/>
      <c r="G2" s="374" t="b">
        <f>IF(($E$129+$E$130)=(SUM('FY2020 December Transactions'!E:E)),TRUE,FALSE)</f>
        <v>1</v>
      </c>
    </row>
    <row r="3" spans="1:7" ht="26.25" customHeight="1" x14ac:dyDescent="0.25">
      <c r="A3" s="374"/>
      <c r="B3" s="353"/>
      <c r="C3" s="354"/>
      <c r="D3" s="354"/>
      <c r="E3" s="354"/>
      <c r="F3" s="355"/>
      <c r="G3" s="374"/>
    </row>
    <row r="4" spans="1:7" ht="15.75" x14ac:dyDescent="0.25">
      <c r="A4" s="374"/>
      <c r="B4" s="319" t="s">
        <v>53</v>
      </c>
      <c r="C4" s="320" t="s">
        <v>54</v>
      </c>
      <c r="D4" s="320" t="s">
        <v>2111</v>
      </c>
      <c r="E4" s="320" t="s">
        <v>168</v>
      </c>
      <c r="F4" s="321" t="s">
        <v>2112</v>
      </c>
      <c r="G4" s="374"/>
    </row>
    <row r="5" spans="1:7" ht="15.75" x14ac:dyDescent="0.25">
      <c r="A5" s="374"/>
      <c r="B5" s="11"/>
      <c r="C5" s="1"/>
      <c r="D5" s="1"/>
      <c r="E5" s="1"/>
      <c r="F5" s="12"/>
      <c r="G5" s="374"/>
    </row>
    <row r="6" spans="1:7" ht="15.75" x14ac:dyDescent="0.25">
      <c r="A6" s="374"/>
      <c r="B6" s="344" t="s">
        <v>1979</v>
      </c>
      <c r="C6" s="345"/>
      <c r="D6" s="345"/>
      <c r="E6" s="345"/>
      <c r="F6" s="346"/>
      <c r="G6" s="374"/>
    </row>
    <row r="7" spans="1:7" ht="15.75" x14ac:dyDescent="0.25">
      <c r="A7" s="374"/>
      <c r="B7" s="11"/>
      <c r="C7" s="1"/>
      <c r="D7" s="1"/>
      <c r="E7" s="1"/>
      <c r="F7" s="12"/>
      <c r="G7" s="374"/>
    </row>
    <row r="8" spans="1:7" x14ac:dyDescent="0.25">
      <c r="A8" s="374"/>
      <c r="B8" s="80" t="s">
        <v>132</v>
      </c>
      <c r="C8" s="81"/>
      <c r="D8" s="81"/>
      <c r="E8" s="81"/>
      <c r="F8" s="82"/>
      <c r="G8" s="374"/>
    </row>
    <row r="9" spans="1:7" ht="15.75" x14ac:dyDescent="0.25">
      <c r="A9" s="374"/>
      <c r="B9" s="11"/>
      <c r="C9" s="1"/>
      <c r="D9" s="1"/>
      <c r="E9" s="1"/>
      <c r="F9" s="12"/>
      <c r="G9" s="374"/>
    </row>
    <row r="10" spans="1:7" x14ac:dyDescent="0.25">
      <c r="A10" s="374"/>
      <c r="B10" s="13" t="s">
        <v>133</v>
      </c>
      <c r="C10" s="2"/>
      <c r="D10" s="2"/>
      <c r="E10" s="2"/>
      <c r="F10" s="14"/>
      <c r="G10" s="374"/>
    </row>
    <row r="11" spans="1:7" ht="15.75" x14ac:dyDescent="0.25">
      <c r="A11" s="374"/>
      <c r="B11" s="11"/>
      <c r="C11" s="3" t="s">
        <v>134</v>
      </c>
      <c r="D11" s="4">
        <f>'FY2020 November Account'!F11</f>
        <v>253550.44</v>
      </c>
      <c r="E11" s="4">
        <f>E131</f>
        <v>-1285.4400000000005</v>
      </c>
      <c r="F11" s="15">
        <f>(D11+E11)</f>
        <v>252265</v>
      </c>
      <c r="G11" s="374"/>
    </row>
    <row r="12" spans="1:7" x14ac:dyDescent="0.25">
      <c r="A12" s="374"/>
      <c r="B12" s="16" t="s">
        <v>136</v>
      </c>
      <c r="C12" s="2"/>
      <c r="D12" s="5">
        <f>'FY2020 November Account'!F12</f>
        <v>253550.44</v>
      </c>
      <c r="E12" s="5">
        <f>SUM(E11:E11)</f>
        <v>-1285.4400000000005</v>
      </c>
      <c r="F12" s="17">
        <f>(D12+E12)</f>
        <v>252265</v>
      </c>
      <c r="G12" s="374"/>
    </row>
    <row r="13" spans="1:7" ht="15.75" x14ac:dyDescent="0.25">
      <c r="A13" s="374"/>
      <c r="B13" s="11"/>
      <c r="C13" s="1"/>
      <c r="D13" s="1"/>
      <c r="E13" s="1"/>
      <c r="F13" s="12"/>
      <c r="G13" s="374"/>
    </row>
    <row r="14" spans="1:7" x14ac:dyDescent="0.25">
      <c r="A14" s="374"/>
      <c r="B14" s="13" t="s">
        <v>139</v>
      </c>
      <c r="C14" s="2"/>
      <c r="D14" s="2"/>
      <c r="E14" s="2"/>
      <c r="F14" s="14"/>
      <c r="G14" s="374"/>
    </row>
    <row r="15" spans="1:7" ht="15.75" x14ac:dyDescent="0.25">
      <c r="A15" s="374"/>
      <c r="B15" s="11"/>
      <c r="C15" s="3" t="s">
        <v>135</v>
      </c>
      <c r="D15" s="4">
        <f>'FY2020 November Account'!F15</f>
        <v>452.02</v>
      </c>
      <c r="E15" s="4">
        <f>E75</f>
        <v>0</v>
      </c>
      <c r="F15" s="15">
        <f>(D15+E15)</f>
        <v>452.02</v>
      </c>
      <c r="G15" s="374"/>
    </row>
    <row r="16" spans="1:7" ht="15.75" x14ac:dyDescent="0.25">
      <c r="A16" s="374"/>
      <c r="B16" s="11"/>
      <c r="C16" s="3" t="s">
        <v>140</v>
      </c>
      <c r="D16" s="4">
        <f>'FY2020 November Account'!F16</f>
        <v>0</v>
      </c>
      <c r="E16" s="4">
        <v>0</v>
      </c>
      <c r="F16" s="15">
        <f>(D16+E16)</f>
        <v>0</v>
      </c>
      <c r="G16" s="374"/>
    </row>
    <row r="17" spans="1:7" x14ac:dyDescent="0.25">
      <c r="A17" s="374"/>
      <c r="B17" s="16" t="s">
        <v>137</v>
      </c>
      <c r="C17" s="2"/>
      <c r="D17" s="5">
        <f>'FY2020 November Account'!F17</f>
        <v>452.02</v>
      </c>
      <c r="E17" s="5">
        <f>SUM(E15:E16)</f>
        <v>0</v>
      </c>
      <c r="F17" s="17">
        <f>(D17+E17)</f>
        <v>452.02</v>
      </c>
      <c r="G17" s="374"/>
    </row>
    <row r="18" spans="1:7" ht="15.75" x14ac:dyDescent="0.25">
      <c r="A18" s="374"/>
      <c r="B18" s="11"/>
      <c r="C18" s="1"/>
      <c r="D18" s="1"/>
      <c r="E18" s="1"/>
      <c r="F18" s="12"/>
      <c r="G18" s="374"/>
    </row>
    <row r="19" spans="1:7" x14ac:dyDescent="0.25">
      <c r="A19" s="374"/>
      <c r="B19" s="83" t="s">
        <v>138</v>
      </c>
      <c r="C19" s="84"/>
      <c r="D19" s="85">
        <f>'FY2020 November Account'!F19</f>
        <v>254002.46</v>
      </c>
      <c r="E19" s="85">
        <f>SUM(E12,E17)</f>
        <v>-1285.4400000000005</v>
      </c>
      <c r="F19" s="86">
        <f>(D19+E19)</f>
        <v>252717.02</v>
      </c>
      <c r="G19" s="374"/>
    </row>
    <row r="20" spans="1:7" ht="15.75" x14ac:dyDescent="0.25">
      <c r="A20" s="374"/>
      <c r="B20" s="11"/>
      <c r="C20" s="1"/>
      <c r="D20" s="1"/>
      <c r="E20" s="1"/>
      <c r="F20" s="12"/>
      <c r="G20" s="374"/>
    </row>
    <row r="21" spans="1:7" x14ac:dyDescent="0.25">
      <c r="A21" s="374"/>
      <c r="B21" s="73" t="s">
        <v>55</v>
      </c>
      <c r="C21" s="74"/>
      <c r="D21" s="74"/>
      <c r="E21" s="74"/>
      <c r="F21" s="75"/>
      <c r="G21" s="374"/>
    </row>
    <row r="22" spans="1:7" ht="15.75" x14ac:dyDescent="0.25">
      <c r="A22" s="374"/>
      <c r="B22" s="11"/>
      <c r="C22" s="1"/>
      <c r="D22" s="1"/>
      <c r="E22" s="1"/>
      <c r="F22" s="12"/>
      <c r="G22" s="374"/>
    </row>
    <row r="23" spans="1:7" x14ac:dyDescent="0.25">
      <c r="A23" s="374"/>
      <c r="B23" s="13" t="s">
        <v>56</v>
      </c>
      <c r="C23" s="2"/>
      <c r="D23" s="2"/>
      <c r="E23" s="2"/>
      <c r="F23" s="14"/>
      <c r="G23" s="374"/>
    </row>
    <row r="24" spans="1:7" ht="15.75" x14ac:dyDescent="0.25">
      <c r="A24" s="374"/>
      <c r="B24" s="11"/>
      <c r="C24" s="3" t="s">
        <v>57</v>
      </c>
      <c r="D24" s="4">
        <f>'FY2020 November Account'!F24</f>
        <v>114109.96</v>
      </c>
      <c r="E24" s="4">
        <f>SUMIFS(TraFY2020Dec[[ Amount]],TraFY2020Dec[[ Acct Desc]], "Transfer In*") + SUMIFS(TraFY2020Dec[[ Amount]],TraFY2020Dec[[ Acct Desc]], "ASG FEE*")</f>
        <v>10888.55</v>
      </c>
      <c r="F24" s="15">
        <f>(D24+E24)</f>
        <v>124998.51000000001</v>
      </c>
      <c r="G24" s="374"/>
    </row>
    <row r="25" spans="1:7" ht="15.75" x14ac:dyDescent="0.25">
      <c r="A25" s="374"/>
      <c r="B25" s="11"/>
      <c r="C25" s="3" t="s">
        <v>129</v>
      </c>
      <c r="D25" s="4">
        <f>'FY2020 November Account'!F25</f>
        <v>2033.0200000000002</v>
      </c>
      <c r="E25" s="4">
        <f>SUMIFS(TraFY2020Dec[[ Amount]],TraFY2020Dec[[ Acct Desc]], "*Income*")</f>
        <v>0</v>
      </c>
      <c r="F25" s="15">
        <f>(D25+E25)</f>
        <v>2033.0200000000002</v>
      </c>
      <c r="G25" s="374"/>
    </row>
    <row r="26" spans="1:7" ht="15.75" x14ac:dyDescent="0.25">
      <c r="A26" s="374"/>
      <c r="B26" s="11"/>
      <c r="C26" s="3" t="s">
        <v>2019</v>
      </c>
      <c r="D26" s="4">
        <f>'FY2020 November Account'!F26</f>
        <v>0</v>
      </c>
      <c r="E26" s="4">
        <v>0</v>
      </c>
      <c r="F26" s="15">
        <f>(D26+E26)</f>
        <v>0</v>
      </c>
      <c r="G26" s="374"/>
    </row>
    <row r="27" spans="1:7" x14ac:dyDescent="0.25">
      <c r="A27" s="374"/>
      <c r="B27" s="16" t="s">
        <v>58</v>
      </c>
      <c r="C27" s="2"/>
      <c r="D27" s="5">
        <f>'FY2020 November Account'!F27</f>
        <v>116142.98</v>
      </c>
      <c r="E27" s="5">
        <f>SUM(E24:E26)</f>
        <v>10888.55</v>
      </c>
      <c r="F27" s="17">
        <f>(D27+E27)</f>
        <v>127031.53</v>
      </c>
      <c r="G27" s="374"/>
    </row>
    <row r="28" spans="1:7" ht="15.75" x14ac:dyDescent="0.25">
      <c r="A28" s="374"/>
      <c r="B28" s="11"/>
      <c r="C28" s="1"/>
      <c r="D28" s="1"/>
      <c r="E28" s="1"/>
      <c r="F28" s="12"/>
      <c r="G28" s="374"/>
    </row>
    <row r="29" spans="1:7" x14ac:dyDescent="0.25">
      <c r="A29" s="374"/>
      <c r="B29" s="13" t="s">
        <v>59</v>
      </c>
      <c r="C29" s="2"/>
      <c r="D29" s="2"/>
      <c r="E29" s="2"/>
      <c r="F29" s="14"/>
      <c r="G29" s="374"/>
    </row>
    <row r="30" spans="1:7" ht="15.75" x14ac:dyDescent="0.25">
      <c r="A30" s="374"/>
      <c r="B30" s="11"/>
      <c r="C30" s="3" t="s">
        <v>60</v>
      </c>
      <c r="D30" s="4">
        <f>'FY2020 November Account'!F30</f>
        <v>0</v>
      </c>
      <c r="E30" s="4">
        <v>0</v>
      </c>
      <c r="F30" s="15">
        <f>(D30+E30)</f>
        <v>0</v>
      </c>
      <c r="G30" s="374"/>
    </row>
    <row r="31" spans="1:7" ht="15.75" x14ac:dyDescent="0.25">
      <c r="A31" s="374"/>
      <c r="B31" s="11"/>
      <c r="C31" s="3" t="s">
        <v>2018</v>
      </c>
      <c r="D31" s="4">
        <f>'FY2020 November Account'!F31</f>
        <v>421</v>
      </c>
      <c r="E31" s="4"/>
      <c r="F31" s="15">
        <f>(D31+E31)</f>
        <v>421</v>
      </c>
      <c r="G31" s="374"/>
    </row>
    <row r="32" spans="1:7" x14ac:dyDescent="0.25">
      <c r="A32" s="374"/>
      <c r="B32" s="16" t="s">
        <v>61</v>
      </c>
      <c r="C32" s="2"/>
      <c r="D32" s="5">
        <f>'FY2020 November Account'!F32</f>
        <v>421</v>
      </c>
      <c r="E32" s="5">
        <f>SUM(E30:E31)</f>
        <v>0</v>
      </c>
      <c r="F32" s="17">
        <f>(D32+E32)</f>
        <v>421</v>
      </c>
      <c r="G32" s="374"/>
    </row>
    <row r="33" spans="1:7" ht="15.75" x14ac:dyDescent="0.25">
      <c r="A33" s="374"/>
      <c r="B33" s="11"/>
      <c r="C33" s="1"/>
      <c r="D33" s="1"/>
      <c r="E33" s="1"/>
      <c r="F33" s="12"/>
      <c r="G33" s="374"/>
    </row>
    <row r="34" spans="1:7" x14ac:dyDescent="0.25">
      <c r="A34" s="374"/>
      <c r="B34" s="76" t="s">
        <v>62</v>
      </c>
      <c r="C34" s="77"/>
      <c r="D34" s="78">
        <f>'FY2020 November Account'!F34</f>
        <v>116563.98</v>
      </c>
      <c r="E34" s="78">
        <f>SUM(E27,E32)</f>
        <v>10888.55</v>
      </c>
      <c r="F34" s="79">
        <f>(D34+E34)</f>
        <v>127452.53</v>
      </c>
      <c r="G34" s="374"/>
    </row>
    <row r="35" spans="1:7" ht="15.75" x14ac:dyDescent="0.25">
      <c r="A35" s="374"/>
      <c r="B35" s="11"/>
      <c r="C35" s="1"/>
      <c r="D35" s="1"/>
      <c r="E35" s="1"/>
      <c r="F35" s="12"/>
      <c r="G35" s="374"/>
    </row>
    <row r="36" spans="1:7" ht="15.75" x14ac:dyDescent="0.25">
      <c r="A36" s="374"/>
      <c r="B36" s="344" t="s">
        <v>169</v>
      </c>
      <c r="C36" s="345"/>
      <c r="D36" s="345"/>
      <c r="E36" s="345"/>
      <c r="F36" s="346"/>
      <c r="G36" s="374"/>
    </row>
    <row r="37" spans="1:7" ht="15.75" x14ac:dyDescent="0.25">
      <c r="A37" s="374"/>
      <c r="B37" s="11"/>
      <c r="C37" s="1"/>
      <c r="D37" s="1"/>
      <c r="E37" s="1"/>
      <c r="F37" s="12"/>
      <c r="G37" s="374"/>
    </row>
    <row r="38" spans="1:7" x14ac:dyDescent="0.25">
      <c r="A38" s="374"/>
      <c r="B38" s="66" t="s">
        <v>63</v>
      </c>
      <c r="C38" s="67"/>
      <c r="D38" s="67"/>
      <c r="E38" s="67"/>
      <c r="F38" s="68"/>
      <c r="G38" s="374"/>
    </row>
    <row r="39" spans="1:7" x14ac:dyDescent="0.25">
      <c r="A39" s="374"/>
      <c r="B39" s="18"/>
      <c r="C39" s="3"/>
      <c r="D39" s="3"/>
      <c r="E39" s="3"/>
      <c r="F39" s="19"/>
      <c r="G39" s="374"/>
    </row>
    <row r="40" spans="1:7" x14ac:dyDescent="0.25">
      <c r="A40" s="374"/>
      <c r="B40" s="13" t="s">
        <v>64</v>
      </c>
      <c r="C40" s="2"/>
      <c r="D40" s="2"/>
      <c r="E40" s="2"/>
      <c r="F40" s="14"/>
      <c r="G40" s="374"/>
    </row>
    <row r="41" spans="1:7" x14ac:dyDescent="0.25">
      <c r="A41" s="374"/>
      <c r="B41" s="20"/>
      <c r="C41" s="3" t="s">
        <v>65</v>
      </c>
      <c r="D41" s="4">
        <f>'FY2020 November Account'!F41</f>
        <v>3900</v>
      </c>
      <c r="E41" s="4">
        <f>SUMIFS(TraFY2020Dec[[ Amount]],TraFY2020Dec[[ Description]], "*ADAM SCHMIDT*", TraFY2020Dec[[ Acct Desc]], "Participant Stipends")</f>
        <v>650</v>
      </c>
      <c r="F41" s="15">
        <f>(D41-E41)</f>
        <v>3250</v>
      </c>
      <c r="G41" s="374"/>
    </row>
    <row r="42" spans="1:7" x14ac:dyDescent="0.25">
      <c r="A42" s="374"/>
      <c r="B42" s="20"/>
      <c r="C42" s="3" t="s">
        <v>66</v>
      </c>
      <c r="D42" s="4">
        <f>'FY2020 November Account'!F42</f>
        <v>2400</v>
      </c>
      <c r="E42" s="4">
        <f>SUMIFS(TraFY2020Dec[[ Amount]],TraFY2020Dec[[ Description]], "*RAEKWON L. DAVIS*", TraFY2020Dec[[ Acct Desc]], "Participant Stipends")</f>
        <v>400</v>
      </c>
      <c r="F42" s="15">
        <f t="shared" ref="F42:F49" si="0">(D42-E42)</f>
        <v>2000</v>
      </c>
      <c r="G42" s="374"/>
    </row>
    <row r="43" spans="1:7" x14ac:dyDescent="0.25">
      <c r="A43" s="374"/>
      <c r="B43" s="20"/>
      <c r="C43" s="3" t="s">
        <v>67</v>
      </c>
      <c r="D43" s="4">
        <f>'FY2020 November Account'!F43</f>
        <v>1350</v>
      </c>
      <c r="E43" s="4">
        <f>SUMIFS(TraFY2020Dec[[ Amount]],TraFY2020Dec[[ Description]], "*RYAN DUNN*", TraFY2020Dec[[ Acct Desc]], "Participant Stipends")</f>
        <v>225</v>
      </c>
      <c r="F43" s="15">
        <f t="shared" si="0"/>
        <v>1125</v>
      </c>
      <c r="G43" s="374"/>
    </row>
    <row r="44" spans="1:7" x14ac:dyDescent="0.25">
      <c r="A44" s="374"/>
      <c r="B44" s="20"/>
      <c r="C44" s="3" t="s">
        <v>68</v>
      </c>
      <c r="D44" s="4">
        <f>'FY2020 November Account'!F44</f>
        <v>1200</v>
      </c>
      <c r="E44" s="4">
        <f>SUMIFS(TraFY2020Dec[[ Amount]],TraFY2020Dec[[ Description]], "*NATHANIEL BLAKE JACOBS*", TraFY2020Dec[[ Acct Desc]], "Participant Stipends")</f>
        <v>200</v>
      </c>
      <c r="F44" s="15">
        <f t="shared" si="0"/>
        <v>1000</v>
      </c>
      <c r="G44" s="374"/>
    </row>
    <row r="45" spans="1:7" x14ac:dyDescent="0.25">
      <c r="A45" s="374"/>
      <c r="B45" s="20"/>
      <c r="C45" s="3" t="s">
        <v>69</v>
      </c>
      <c r="D45" s="4">
        <f>'FY2020 November Account'!F45</f>
        <v>1200</v>
      </c>
      <c r="E45" s="4">
        <f>SUMIFS(TraFY2020Dec[[ Amount]],TraFY2020Dec[[ Description]], "*ALYSSA FLOYD*", TraFY2020Dec[[ Acct Desc]], "Participant Stipends")</f>
        <v>200</v>
      </c>
      <c r="F45" s="15">
        <f t="shared" si="0"/>
        <v>1000</v>
      </c>
      <c r="G45" s="374"/>
    </row>
    <row r="46" spans="1:7" x14ac:dyDescent="0.25">
      <c r="A46" s="374"/>
      <c r="B46" s="20"/>
      <c r="C46" s="3" t="s">
        <v>70</v>
      </c>
      <c r="D46" s="4">
        <f>'FY2020 November Account'!F46</f>
        <v>1200</v>
      </c>
      <c r="E46" s="4">
        <f>SUMIFS(TraFY2020Dec[[ Amount]],TraFY2020Dec[[ Description]], "*OLIVIA TARPLEY*", TraFY2020Dec[[ Acct Desc]], "Participant Stipends")</f>
        <v>200</v>
      </c>
      <c r="F46" s="15">
        <f t="shared" si="0"/>
        <v>1000</v>
      </c>
      <c r="G46" s="374"/>
    </row>
    <row r="47" spans="1:7" x14ac:dyDescent="0.25">
      <c r="A47" s="374"/>
      <c r="B47" s="20"/>
      <c r="C47" s="3" t="s">
        <v>71</v>
      </c>
      <c r="D47" s="4">
        <f>'FY2020 November Account'!F47</f>
        <v>1200</v>
      </c>
      <c r="E47" s="4">
        <f>SUMIFS(TraFY2020Dec[[ Amount]],TraFY2020Dec[[ Description]], "*JACOB NEWTON*", TraFY2020Dec[[ Acct Desc]], "Participant Stipends")</f>
        <v>200</v>
      </c>
      <c r="F47" s="15">
        <f t="shared" si="0"/>
        <v>1000</v>
      </c>
      <c r="G47" s="374"/>
    </row>
    <row r="48" spans="1:7" x14ac:dyDescent="0.25">
      <c r="A48" s="374"/>
      <c r="B48" s="20"/>
      <c r="C48" s="3" t="s">
        <v>72</v>
      </c>
      <c r="D48" s="4">
        <f>'FY2020 November Account'!F48</f>
        <v>1200</v>
      </c>
      <c r="E48" s="4">
        <f>SUMIFS(TraFY2020Dec[[ Amount]],TraFY2020Dec[[ Description]], "*AVERY WALTER*", TraFY2020Dec[[ Acct Desc]], "Participant Stipends")</f>
        <v>200</v>
      </c>
      <c r="F48" s="15">
        <f t="shared" si="0"/>
        <v>1000</v>
      </c>
      <c r="G48" s="374"/>
    </row>
    <row r="49" spans="1:7" x14ac:dyDescent="0.25">
      <c r="A49" s="374"/>
      <c r="B49" s="20"/>
      <c r="C49" s="3" t="s">
        <v>73</v>
      </c>
      <c r="D49" s="4">
        <f>'FY2020 November Account'!F49</f>
        <v>1200</v>
      </c>
      <c r="E49" s="4">
        <f>SUMIFS(TraFY2020Dec[[ Amount]],TraFY2020Dec[[ Description]], "*SKYE GREGG*", TraFY2020Dec[[ Acct Desc]], "Participant Stipends")</f>
        <v>200</v>
      </c>
      <c r="F49" s="15">
        <f t="shared" si="0"/>
        <v>1000</v>
      </c>
      <c r="G49" s="374"/>
    </row>
    <row r="50" spans="1:7" x14ac:dyDescent="0.25">
      <c r="A50" s="374"/>
      <c r="B50" s="16" t="s">
        <v>74</v>
      </c>
      <c r="C50" s="2"/>
      <c r="D50" s="5">
        <f>'FY2020 November Account'!F50</f>
        <v>14850</v>
      </c>
      <c r="E50" s="6">
        <f>SUM(E41:E49)</f>
        <v>2475</v>
      </c>
      <c r="F50" s="21">
        <f>(D50-E50)</f>
        <v>12375</v>
      </c>
      <c r="G50" s="374"/>
    </row>
    <row r="51" spans="1:7" x14ac:dyDescent="0.25">
      <c r="A51" s="374"/>
      <c r="B51" s="20"/>
      <c r="C51" s="3"/>
      <c r="D51" s="3"/>
      <c r="E51" s="3"/>
      <c r="F51" s="19"/>
      <c r="G51" s="374"/>
    </row>
    <row r="52" spans="1:7" x14ac:dyDescent="0.25">
      <c r="A52" s="374"/>
      <c r="B52" s="13" t="s">
        <v>75</v>
      </c>
      <c r="C52" s="2"/>
      <c r="D52" s="2"/>
      <c r="E52" s="2"/>
      <c r="F52" s="14"/>
      <c r="G52" s="374"/>
    </row>
    <row r="53" spans="1:7" x14ac:dyDescent="0.25">
      <c r="A53" s="374"/>
      <c r="B53" s="20"/>
      <c r="C53" s="3" t="s">
        <v>76</v>
      </c>
      <c r="D53" s="4">
        <f>'FY2020 November Account'!F53</f>
        <v>30916.800000000003</v>
      </c>
      <c r="E53" s="4">
        <f>SUMIFS(TraFY2020Dec[[ Amount]],TraFY2020Dec[[ Acct Desc]], "EHRA*")</f>
        <v>4416.6400000000003</v>
      </c>
      <c r="F53" s="15">
        <f>(D53-E53)</f>
        <v>26500.160000000003</v>
      </c>
      <c r="G53" s="374"/>
    </row>
    <row r="54" spans="1:7" x14ac:dyDescent="0.25">
      <c r="A54" s="374"/>
      <c r="B54" s="20"/>
      <c r="C54" s="3" t="s">
        <v>77</v>
      </c>
      <c r="D54" s="4">
        <f>'FY2020 November Account'!F54</f>
        <v>5299.9999999999982</v>
      </c>
      <c r="E54" s="4">
        <f>SUMIFS(TraFY2020Dec[[ Amount]],TraFY2020Dec[[ Acct Desc]], "ORP-TIAA Ret*")</f>
        <v>302.10000000000002</v>
      </c>
      <c r="F54" s="15">
        <f t="shared" ref="F54:F57" si="1">(D54-E54)</f>
        <v>4997.8999999999978</v>
      </c>
      <c r="G54" s="374"/>
    </row>
    <row r="55" spans="1:7" x14ac:dyDescent="0.25">
      <c r="A55" s="374"/>
      <c r="B55" s="20"/>
      <c r="C55" s="3" t="s">
        <v>78</v>
      </c>
      <c r="D55" s="4">
        <f>'FY2020 November Account'!F55</f>
        <v>2371.8999999999996</v>
      </c>
      <c r="E55" s="4">
        <f>SUMIFS(TraFY2020Dec[[ Amount]],TraFY2020Dec[[ Acct Desc]], "ORP-TIAA Hea*") + SUMIFS(TraFY2020Dec[[ Amount]],TraFY2020Dec[[ Acct Desc]], "Medical*")</f>
        <v>647.66000000000008</v>
      </c>
      <c r="F55" s="15">
        <f t="shared" si="1"/>
        <v>1724.2399999999996</v>
      </c>
      <c r="G55" s="374"/>
    </row>
    <row r="56" spans="1:7" x14ac:dyDescent="0.25">
      <c r="A56" s="374"/>
      <c r="B56" s="20"/>
      <c r="C56" s="3" t="s">
        <v>79</v>
      </c>
      <c r="D56" s="4">
        <f>'FY2020 November Account'!F56</f>
        <v>1939.2500000000005</v>
      </c>
      <c r="E56" s="4">
        <f>SUMIFS(TraFY2020Dec[[ Amount]],TraFY2020Dec[[ Acct Desc]], "Social Security-OASDI")</f>
        <v>269.35000000000002</v>
      </c>
      <c r="F56" s="15">
        <f t="shared" si="1"/>
        <v>1669.9000000000005</v>
      </c>
      <c r="G56" s="374"/>
    </row>
    <row r="57" spans="1:7" x14ac:dyDescent="0.25">
      <c r="A57" s="374"/>
      <c r="B57" s="20"/>
      <c r="C57" s="3" t="s">
        <v>80</v>
      </c>
      <c r="D57" s="4">
        <f>'FY2020 November Account'!F57</f>
        <v>453.52</v>
      </c>
      <c r="E57" s="4">
        <f>SUMIFS(TraFY2020Dec[[ Amount]],TraFY2020Dec[[ Acct Desc]], "*Hospital Ins*")</f>
        <v>63</v>
      </c>
      <c r="F57" s="15">
        <f t="shared" si="1"/>
        <v>390.52</v>
      </c>
      <c r="G57" s="374"/>
    </row>
    <row r="58" spans="1:7" x14ac:dyDescent="0.25">
      <c r="A58" s="374"/>
      <c r="B58" s="16" t="s">
        <v>81</v>
      </c>
      <c r="C58" s="2"/>
      <c r="D58" s="5">
        <f>'FY2020 November Account'!F58</f>
        <v>40981.469999999994</v>
      </c>
      <c r="E58" s="6">
        <f>SUM(E53:E57)</f>
        <v>5698.7500000000009</v>
      </c>
      <c r="F58" s="21">
        <f>(D58-E58)</f>
        <v>35282.719999999994</v>
      </c>
      <c r="G58" s="374"/>
    </row>
    <row r="59" spans="1:7" x14ac:dyDescent="0.25">
      <c r="A59" s="374"/>
      <c r="B59" s="20"/>
      <c r="C59" s="3"/>
      <c r="D59" s="3"/>
      <c r="E59" s="3"/>
      <c r="F59" s="19"/>
      <c r="G59" s="374"/>
    </row>
    <row r="60" spans="1:7" x14ac:dyDescent="0.25">
      <c r="A60" s="374"/>
      <c r="B60" s="13" t="s">
        <v>82</v>
      </c>
      <c r="C60" s="2"/>
      <c r="D60" s="2"/>
      <c r="E60" s="2"/>
      <c r="F60" s="14"/>
      <c r="G60" s="374"/>
    </row>
    <row r="61" spans="1:7" x14ac:dyDescent="0.25">
      <c r="A61" s="374"/>
      <c r="B61" s="20"/>
      <c r="C61" s="3" t="s">
        <v>83</v>
      </c>
      <c r="D61" s="4">
        <f>'FY2020 November Account'!F61</f>
        <v>12750</v>
      </c>
      <c r="E61" s="4">
        <f>SUMIFS(TraFY2020Dec[[ Amount]],TraFY2020Dec[[ Trans ID]], "*STIP_ASG*",TraFY2020Dec[[ Amount]], "125" )</f>
        <v>2125</v>
      </c>
      <c r="F61" s="15">
        <f t="shared" ref="F61" si="2">(D61-E61)</f>
        <v>10625</v>
      </c>
      <c r="G61" s="374"/>
    </row>
    <row r="62" spans="1:7" x14ac:dyDescent="0.25">
      <c r="A62" s="374"/>
      <c r="B62" s="16" t="s">
        <v>84</v>
      </c>
      <c r="C62" s="2"/>
      <c r="D62" s="5">
        <f>'FY2020 November Account'!F62</f>
        <v>12750</v>
      </c>
      <c r="E62" s="6">
        <f>SUM(E61:E61)</f>
        <v>2125</v>
      </c>
      <c r="F62" s="21">
        <f>(D62-E62)</f>
        <v>10625</v>
      </c>
      <c r="G62" s="374"/>
    </row>
    <row r="63" spans="1:7" x14ac:dyDescent="0.25">
      <c r="A63" s="374"/>
      <c r="B63" s="20"/>
      <c r="C63" s="3"/>
      <c r="D63" s="3"/>
      <c r="E63" s="3"/>
      <c r="F63" s="19"/>
      <c r="G63" s="374"/>
    </row>
    <row r="64" spans="1:7" x14ac:dyDescent="0.25">
      <c r="A64" s="374"/>
      <c r="B64" s="69" t="s">
        <v>85</v>
      </c>
      <c r="C64" s="70"/>
      <c r="D64" s="71">
        <f>'FY2020 November Account'!F64</f>
        <v>68581.47</v>
      </c>
      <c r="E64" s="71">
        <f>SUM(E50, E58, E62)</f>
        <v>10298.75</v>
      </c>
      <c r="F64" s="72">
        <f>(D64-E64)</f>
        <v>58282.720000000001</v>
      </c>
      <c r="G64" s="374"/>
    </row>
    <row r="65" spans="1:7" x14ac:dyDescent="0.25">
      <c r="A65" s="374"/>
      <c r="B65" s="20"/>
      <c r="C65" s="3"/>
      <c r="D65" s="3"/>
      <c r="E65" s="3"/>
      <c r="F65" s="19"/>
      <c r="G65" s="374"/>
    </row>
    <row r="66" spans="1:7" x14ac:dyDescent="0.25">
      <c r="A66" s="374"/>
      <c r="B66" s="58" t="s">
        <v>130</v>
      </c>
      <c r="C66" s="59"/>
      <c r="D66" s="59"/>
      <c r="E66" s="59"/>
      <c r="F66" s="60"/>
      <c r="G66" s="374"/>
    </row>
    <row r="67" spans="1:7" x14ac:dyDescent="0.25">
      <c r="A67" s="374"/>
      <c r="B67" s="18"/>
      <c r="C67" s="3"/>
      <c r="D67" s="3"/>
      <c r="E67" s="3"/>
      <c r="F67" s="19"/>
      <c r="G67" s="374"/>
    </row>
    <row r="68" spans="1:7" x14ac:dyDescent="0.25">
      <c r="A68" s="374"/>
      <c r="B68" s="13" t="s">
        <v>86</v>
      </c>
      <c r="C68" s="2"/>
      <c r="D68" s="2"/>
      <c r="E68" s="2"/>
      <c r="F68" s="14"/>
      <c r="G68" s="374"/>
    </row>
    <row r="69" spans="1:7" x14ac:dyDescent="0.25">
      <c r="A69" s="374"/>
      <c r="B69" s="20"/>
      <c r="C69" s="3" t="s">
        <v>87</v>
      </c>
      <c r="D69" s="4">
        <f>'FY2020 November Account'!F69</f>
        <v>174</v>
      </c>
      <c r="E69" s="4">
        <f>SUMIFS(TraFY2020Dec[[ Amount]],TraFY2020Dec[[ Acct Desc]], "Teleph*")</f>
        <v>0</v>
      </c>
      <c r="F69" s="15">
        <f t="shared" ref="F69:F70" si="3">(D69-E69)</f>
        <v>174</v>
      </c>
      <c r="G69" s="374"/>
    </row>
    <row r="70" spans="1:7" x14ac:dyDescent="0.25">
      <c r="A70" s="374"/>
      <c r="B70" s="20"/>
      <c r="C70" s="3" t="s">
        <v>88</v>
      </c>
      <c r="D70" s="4">
        <f>'FY2020 November Account'!F70</f>
        <v>902.76</v>
      </c>
      <c r="E70" s="4">
        <f>SUMIFS(TraFY2020Dec[[ Amount]],TraFY2020Dec[[ Acct Desc]], "*Supplies*") + SUMIFS(TraFY2020Dec[[ Amount]],TraFY2020Dec[[ Acct Desc]], "*Pcard*") - E75</f>
        <v>61.75</v>
      </c>
      <c r="F70" s="15">
        <f t="shared" si="3"/>
        <v>841.01</v>
      </c>
      <c r="G70" s="374"/>
    </row>
    <row r="71" spans="1:7" x14ac:dyDescent="0.25">
      <c r="A71" s="374"/>
      <c r="B71" s="16" t="s">
        <v>89</v>
      </c>
      <c r="C71" s="2"/>
      <c r="D71" s="5">
        <f>'FY2020 November Account'!F71</f>
        <v>1076.7600000000002</v>
      </c>
      <c r="E71" s="6">
        <f>SUM(E69:E70)</f>
        <v>61.75</v>
      </c>
      <c r="F71" s="21">
        <f>(D71-E71)</f>
        <v>1015.0100000000002</v>
      </c>
      <c r="G71" s="374"/>
    </row>
    <row r="72" spans="1:7" x14ac:dyDescent="0.25">
      <c r="A72" s="374"/>
      <c r="B72" s="20"/>
      <c r="C72" s="3"/>
      <c r="D72" s="3"/>
      <c r="E72" s="3"/>
      <c r="F72" s="19"/>
      <c r="G72" s="374"/>
    </row>
    <row r="73" spans="1:7" x14ac:dyDescent="0.25">
      <c r="A73" s="374"/>
      <c r="B73" s="13" t="s">
        <v>90</v>
      </c>
      <c r="C73" s="2"/>
      <c r="D73" s="2"/>
      <c r="E73" s="2"/>
      <c r="F73" s="14"/>
      <c r="G73" s="374"/>
    </row>
    <row r="74" spans="1:7" x14ac:dyDescent="0.25">
      <c r="A74" s="374"/>
      <c r="B74" s="20"/>
      <c r="C74" s="3" t="s">
        <v>91</v>
      </c>
      <c r="D74" s="4">
        <f>'FY2020 November Account'!F74</f>
        <v>132</v>
      </c>
      <c r="E74" s="4">
        <f>SUMIFS(TraFY2020Dec[[ Amount]],TraFY2020Dec[[ Acct Desc]], "Internet Service") + SUMIFS(TraFY2020Dec[[ Amount]],TraFY2020Dec[[ Acct Desc]], "Software Subscriptions")</f>
        <v>0</v>
      </c>
      <c r="F74" s="15">
        <f t="shared" ref="F74:F76" si="4">(D74-E74)</f>
        <v>132</v>
      </c>
      <c r="G74" s="374"/>
    </row>
    <row r="75" spans="1:7" x14ac:dyDescent="0.25">
      <c r="A75" s="374"/>
      <c r="B75" s="20"/>
      <c r="C75" s="3" t="s">
        <v>92</v>
      </c>
      <c r="D75" s="4">
        <f>'FY2020 November Account'!F75</f>
        <v>547.98</v>
      </c>
      <c r="E75" s="4">
        <f>SUMIFS(TraFY2020Dec[[ Amount]],TraFY2020Dec[[ Acct Desc]], "*Non Educ Misc")</f>
        <v>0</v>
      </c>
      <c r="F75" s="15">
        <f t="shared" si="4"/>
        <v>547.98</v>
      </c>
      <c r="G75" s="374"/>
    </row>
    <row r="76" spans="1:7" x14ac:dyDescent="0.25">
      <c r="A76" s="374"/>
      <c r="B76" s="20"/>
      <c r="C76" s="3" t="s">
        <v>93</v>
      </c>
      <c r="D76" s="4">
        <f>'FY2020 November Account'!F76</f>
        <v>500</v>
      </c>
      <c r="E76" s="4">
        <v>0</v>
      </c>
      <c r="F76" s="15">
        <f t="shared" si="4"/>
        <v>500</v>
      </c>
      <c r="G76" s="374"/>
    </row>
    <row r="77" spans="1:7" x14ac:dyDescent="0.25">
      <c r="A77" s="374"/>
      <c r="B77" s="16" t="s">
        <v>94</v>
      </c>
      <c r="C77" s="2"/>
      <c r="D77" s="5">
        <f>'FY2020 November Account'!F77</f>
        <v>1179.98</v>
      </c>
      <c r="E77" s="6">
        <f>SUM(E74:E76)</f>
        <v>0</v>
      </c>
      <c r="F77" s="21">
        <f>(D77-E77)</f>
        <v>1179.98</v>
      </c>
      <c r="G77" s="374"/>
    </row>
    <row r="78" spans="1:7" x14ac:dyDescent="0.25">
      <c r="A78" s="374"/>
      <c r="B78" s="20"/>
      <c r="C78" s="3"/>
      <c r="D78" s="3"/>
      <c r="E78" s="3"/>
      <c r="F78" s="19"/>
      <c r="G78" s="374"/>
    </row>
    <row r="79" spans="1:7" x14ac:dyDescent="0.25">
      <c r="A79" s="374"/>
      <c r="B79" s="61" t="s">
        <v>95</v>
      </c>
      <c r="C79" s="62"/>
      <c r="D79" s="63">
        <f>'FY2020 November Account'!F79</f>
        <v>2256.7400000000002</v>
      </c>
      <c r="E79" s="64">
        <f>SUM(E71, E77)</f>
        <v>61.75</v>
      </c>
      <c r="F79" s="65">
        <f>(D79-E79)</f>
        <v>2194.9900000000002</v>
      </c>
      <c r="G79" s="374"/>
    </row>
    <row r="80" spans="1:7" x14ac:dyDescent="0.25">
      <c r="A80" s="374"/>
      <c r="B80" s="20"/>
      <c r="C80" s="3"/>
      <c r="D80" s="3"/>
      <c r="E80" s="3"/>
      <c r="F80" s="19"/>
      <c r="G80" s="374"/>
    </row>
    <row r="81" spans="1:7" x14ac:dyDescent="0.25">
      <c r="A81" s="374"/>
      <c r="B81" s="51" t="s">
        <v>96</v>
      </c>
      <c r="C81" s="52"/>
      <c r="D81" s="52"/>
      <c r="E81" s="52"/>
      <c r="F81" s="53"/>
      <c r="G81" s="374"/>
    </row>
    <row r="82" spans="1:7" x14ac:dyDescent="0.25">
      <c r="A82" s="374"/>
      <c r="B82" s="18"/>
      <c r="C82" s="3"/>
      <c r="D82" s="3"/>
      <c r="E82" s="3"/>
      <c r="F82" s="19"/>
      <c r="G82" s="374"/>
    </row>
    <row r="83" spans="1:7" x14ac:dyDescent="0.25">
      <c r="A83" s="374"/>
      <c r="B83" s="13" t="s">
        <v>97</v>
      </c>
      <c r="C83" s="2"/>
      <c r="D83" s="2"/>
      <c r="E83" s="2"/>
      <c r="F83" s="14"/>
      <c r="G83" s="374"/>
    </row>
    <row r="84" spans="1:7" x14ac:dyDescent="0.25">
      <c r="A84" s="374"/>
      <c r="B84" s="20"/>
      <c r="C84" s="3" t="s">
        <v>98</v>
      </c>
      <c r="D84" s="4">
        <f>'FY2020 November Account'!F84</f>
        <v>20557.059999999998</v>
      </c>
      <c r="E84" s="4">
        <f>SUMIFS(TraFY2020Dec[[ Amount]],TraFY2020Dec[[ Acct Desc]], "*Lodging")</f>
        <v>445.20000000000005</v>
      </c>
      <c r="F84" s="15">
        <f>(D84-E84)</f>
        <v>20111.859999999997</v>
      </c>
      <c r="G84" s="374"/>
    </row>
    <row r="85" spans="1:7" x14ac:dyDescent="0.25">
      <c r="A85" s="374"/>
      <c r="B85" s="20"/>
      <c r="C85" s="3" t="s">
        <v>99</v>
      </c>
      <c r="D85" s="4">
        <f>'FY2020 November Account'!F85</f>
        <v>11551.92</v>
      </c>
      <c r="E85" s="4">
        <f>SUMIFS(TraFY2020Dec[[ Amount]],TraFY2020Dec[[ Acct Desc]], "*Ground") + SUMIFS(TraFY2020Dec[[ Amount]],TraFY2020Dec[[ Acct Desc]], "*Other")</f>
        <v>959.31999999999994</v>
      </c>
      <c r="F85" s="15">
        <f>(D85-E85)</f>
        <v>10592.6</v>
      </c>
      <c r="G85" s="374"/>
    </row>
    <row r="86" spans="1:7" x14ac:dyDescent="0.25">
      <c r="A86" s="374"/>
      <c r="B86" s="20"/>
      <c r="C86" s="3" t="s">
        <v>100</v>
      </c>
      <c r="D86" s="4">
        <f>'FY2020 November Account'!F86</f>
        <v>6349.48</v>
      </c>
      <c r="E86" s="4">
        <f>SUMIFS(TraFY2020Dec[[ Amount]],TraFY2020Dec[[ Acct Desc]], "*Meetings*") +SUMIFS(TraFY2020Dec[[ Amount]], TraFY2020Dec[[ Acct Desc]], "*Meal*")</f>
        <v>206.5</v>
      </c>
      <c r="F86" s="15">
        <f t="shared" ref="F86" si="5">(D86-E86)</f>
        <v>6142.98</v>
      </c>
      <c r="G86" s="374"/>
    </row>
    <row r="87" spans="1:7" x14ac:dyDescent="0.25">
      <c r="A87" s="374"/>
      <c r="B87" s="16" t="s">
        <v>101</v>
      </c>
      <c r="C87" s="2"/>
      <c r="D87" s="5">
        <f>'FY2020 November Account'!F87</f>
        <v>38458.46</v>
      </c>
      <c r="E87" s="6">
        <f>SUM(E84:E86)</f>
        <v>1611.02</v>
      </c>
      <c r="F87" s="21">
        <f>(D87-E87)</f>
        <v>36847.440000000002</v>
      </c>
      <c r="G87" s="374"/>
    </row>
    <row r="88" spans="1:7" x14ac:dyDescent="0.25">
      <c r="A88" s="374"/>
      <c r="B88" s="20"/>
      <c r="C88" s="3"/>
      <c r="D88" s="3"/>
      <c r="E88" s="3"/>
      <c r="F88" s="19"/>
      <c r="G88" s="374"/>
    </row>
    <row r="89" spans="1:7" x14ac:dyDescent="0.25">
      <c r="A89" s="374"/>
      <c r="B89" s="13" t="s">
        <v>102</v>
      </c>
      <c r="C89" s="2"/>
      <c r="D89" s="2"/>
      <c r="E89" s="2"/>
      <c r="F89" s="14"/>
      <c r="G89" s="374"/>
    </row>
    <row r="90" spans="1:7" x14ac:dyDescent="0.25">
      <c r="A90" s="374"/>
      <c r="B90" s="20"/>
      <c r="C90" s="3" t="s">
        <v>103</v>
      </c>
      <c r="D90" s="4">
        <f>'FY2020 November Account'!F90</f>
        <v>3190.82</v>
      </c>
      <c r="E90" s="4">
        <v>0</v>
      </c>
      <c r="F90" s="15">
        <f t="shared" ref="F90:F92" si="6">(D90-E90)</f>
        <v>3190.82</v>
      </c>
      <c r="G90" s="374"/>
    </row>
    <row r="91" spans="1:7" x14ac:dyDescent="0.25">
      <c r="A91" s="374"/>
      <c r="B91" s="20"/>
      <c r="C91" s="3" t="s">
        <v>104</v>
      </c>
      <c r="D91" s="4">
        <f>'FY2020 November Account'!F91</f>
        <v>1000</v>
      </c>
      <c r="E91" s="4">
        <v>0</v>
      </c>
      <c r="F91" s="15">
        <f t="shared" si="6"/>
        <v>1000</v>
      </c>
      <c r="G91" s="374"/>
    </row>
    <row r="92" spans="1:7" x14ac:dyDescent="0.25">
      <c r="A92" s="374"/>
      <c r="B92" s="20"/>
      <c r="C92" s="3" t="s">
        <v>1993</v>
      </c>
      <c r="D92" s="4">
        <f>'FY2020 November Account'!F92</f>
        <v>3000</v>
      </c>
      <c r="E92" s="4">
        <v>0</v>
      </c>
      <c r="F92" s="15">
        <f t="shared" si="6"/>
        <v>3000</v>
      </c>
      <c r="G92" s="374"/>
    </row>
    <row r="93" spans="1:7" x14ac:dyDescent="0.25">
      <c r="A93" s="374"/>
      <c r="B93" s="16" t="s">
        <v>105</v>
      </c>
      <c r="C93" s="2"/>
      <c r="D93" s="5">
        <f>'FY2020 November Account'!F93</f>
        <v>7190.82</v>
      </c>
      <c r="E93" s="6">
        <f>SUM(E90:E92)</f>
        <v>0</v>
      </c>
      <c r="F93" s="21">
        <f>(D93-E93)</f>
        <v>7190.82</v>
      </c>
      <c r="G93" s="374"/>
    </row>
    <row r="94" spans="1:7" x14ac:dyDescent="0.25">
      <c r="A94" s="374"/>
      <c r="B94" s="20"/>
      <c r="C94" s="3"/>
      <c r="D94" s="3"/>
      <c r="E94" s="3"/>
      <c r="F94" s="19"/>
      <c r="G94" s="374"/>
    </row>
    <row r="95" spans="1:7" x14ac:dyDescent="0.25">
      <c r="A95" s="374"/>
      <c r="B95" s="54" t="s">
        <v>106</v>
      </c>
      <c r="C95" s="55"/>
      <c r="D95" s="56">
        <f>'FY2020 November Account'!F95</f>
        <v>45649.280000000006</v>
      </c>
      <c r="E95" s="56">
        <f>SUM(E87, E93)</f>
        <v>1611.02</v>
      </c>
      <c r="F95" s="57">
        <f>(D95-E95)</f>
        <v>44038.260000000009</v>
      </c>
      <c r="G95" s="374"/>
    </row>
    <row r="96" spans="1:7" x14ac:dyDescent="0.25">
      <c r="A96" s="374"/>
      <c r="B96" s="20"/>
      <c r="C96" s="3"/>
      <c r="D96" s="3"/>
      <c r="E96" s="3"/>
      <c r="F96" s="19"/>
      <c r="G96" s="374"/>
    </row>
    <row r="97" spans="1:7" x14ac:dyDescent="0.25">
      <c r="A97" s="374"/>
      <c r="B97" s="44" t="s">
        <v>107</v>
      </c>
      <c r="C97" s="45"/>
      <c r="D97" s="45"/>
      <c r="E97" s="45"/>
      <c r="F97" s="46"/>
      <c r="G97" s="374"/>
    </row>
    <row r="98" spans="1:7" x14ac:dyDescent="0.25">
      <c r="A98" s="374"/>
      <c r="B98" s="18"/>
      <c r="C98" s="3"/>
      <c r="D98" s="3"/>
      <c r="E98" s="3"/>
      <c r="F98" s="19"/>
      <c r="G98" s="374"/>
    </row>
    <row r="99" spans="1:7" x14ac:dyDescent="0.25">
      <c r="A99" s="374"/>
      <c r="B99" s="13" t="s">
        <v>108</v>
      </c>
      <c r="C99" s="2"/>
      <c r="D99" s="2"/>
      <c r="E99" s="2"/>
      <c r="F99" s="14"/>
      <c r="G99" s="374"/>
    </row>
    <row r="100" spans="1:7" x14ac:dyDescent="0.25">
      <c r="A100" s="374"/>
      <c r="B100" s="20"/>
      <c r="C100" s="3" t="s">
        <v>109</v>
      </c>
      <c r="D100" s="4">
        <f>'FY2020 November Account'!F100</f>
        <v>3250</v>
      </c>
      <c r="E100" s="4">
        <v>0</v>
      </c>
      <c r="F100" s="15">
        <f t="shared" ref="F100" si="7">(D100-E100)</f>
        <v>3250</v>
      </c>
      <c r="G100" s="374"/>
    </row>
    <row r="101" spans="1:7" x14ac:dyDescent="0.25">
      <c r="A101" s="374"/>
      <c r="B101" s="16" t="s">
        <v>110</v>
      </c>
      <c r="C101" s="2"/>
      <c r="D101" s="5">
        <f>'FY2020 November Account'!F101</f>
        <v>3250</v>
      </c>
      <c r="E101" s="6">
        <f>SUM(E100:E100)</f>
        <v>0</v>
      </c>
      <c r="F101" s="21">
        <f>(D101-E101)</f>
        <v>3250</v>
      </c>
      <c r="G101" s="374"/>
    </row>
    <row r="102" spans="1:7" x14ac:dyDescent="0.25">
      <c r="A102" s="374"/>
      <c r="B102" s="20"/>
      <c r="C102" s="3"/>
      <c r="D102" s="3"/>
      <c r="E102" s="3"/>
      <c r="F102" s="19"/>
      <c r="G102" s="374"/>
    </row>
    <row r="103" spans="1:7" x14ac:dyDescent="0.25">
      <c r="A103" s="374"/>
      <c r="B103" s="13" t="s">
        <v>111</v>
      </c>
      <c r="C103" s="2"/>
      <c r="D103" s="2"/>
      <c r="E103" s="2"/>
      <c r="F103" s="14"/>
      <c r="G103" s="374"/>
    </row>
    <row r="104" spans="1:7" x14ac:dyDescent="0.25">
      <c r="A104" s="374"/>
      <c r="B104" s="20"/>
      <c r="C104" s="3" t="s">
        <v>112</v>
      </c>
      <c r="D104" s="4">
        <f>'FY2020 November Account'!F104</f>
        <v>16750</v>
      </c>
      <c r="E104" s="4">
        <f>SUM('FY2020 December Transactions'!E15)</f>
        <v>202.47</v>
      </c>
      <c r="F104" s="15">
        <f t="shared" ref="F104:F105" si="8">(D104-E104)</f>
        <v>16547.53</v>
      </c>
      <c r="G104" s="374"/>
    </row>
    <row r="105" spans="1:7" x14ac:dyDescent="0.25">
      <c r="A105" s="374"/>
      <c r="B105" s="20"/>
      <c r="C105" s="3" t="s">
        <v>1992</v>
      </c>
      <c r="D105" s="4">
        <f>'FY2020 November Account'!F105</f>
        <v>20000</v>
      </c>
      <c r="E105" s="4">
        <v>0</v>
      </c>
      <c r="F105" s="15">
        <f t="shared" si="8"/>
        <v>20000</v>
      </c>
      <c r="G105" s="374"/>
    </row>
    <row r="106" spans="1:7" x14ac:dyDescent="0.25">
      <c r="A106" s="374"/>
      <c r="B106" s="16" t="s">
        <v>113</v>
      </c>
      <c r="C106" s="2"/>
      <c r="D106" s="5">
        <f>'FY2020 November Account'!F106</f>
        <v>36750</v>
      </c>
      <c r="E106" s="6">
        <f>SUM(E104:E105)</f>
        <v>202.47</v>
      </c>
      <c r="F106" s="21">
        <f>(D106-E106)</f>
        <v>36547.53</v>
      </c>
      <c r="G106" s="374"/>
    </row>
    <row r="107" spans="1:7" x14ac:dyDescent="0.25">
      <c r="A107" s="374"/>
      <c r="B107" s="22"/>
      <c r="C107" s="3"/>
      <c r="D107" s="3"/>
      <c r="E107" s="3"/>
      <c r="F107" s="19"/>
      <c r="G107" s="374"/>
    </row>
    <row r="108" spans="1:7" x14ac:dyDescent="0.25">
      <c r="A108" s="374"/>
      <c r="B108" s="13" t="s">
        <v>114</v>
      </c>
      <c r="C108" s="2"/>
      <c r="D108" s="2"/>
      <c r="E108" s="2"/>
      <c r="F108" s="14"/>
      <c r="G108" s="374"/>
    </row>
    <row r="109" spans="1:7" x14ac:dyDescent="0.25">
      <c r="A109" s="374"/>
      <c r="B109" s="20"/>
      <c r="C109" s="3" t="s">
        <v>115</v>
      </c>
      <c r="D109" s="4">
        <f>'FY2020 November Account'!F109</f>
        <v>2000</v>
      </c>
      <c r="E109" s="4">
        <v>0</v>
      </c>
      <c r="F109" s="15">
        <f t="shared" ref="F109" si="9">(D109-E109)</f>
        <v>2000</v>
      </c>
      <c r="G109" s="374"/>
    </row>
    <row r="110" spans="1:7" x14ac:dyDescent="0.25">
      <c r="A110" s="374"/>
      <c r="B110" s="16" t="s">
        <v>116</v>
      </c>
      <c r="C110" s="2"/>
      <c r="D110" s="5">
        <f>'FY2020 November Account'!F110</f>
        <v>2000</v>
      </c>
      <c r="E110" s="6">
        <f>SUM(E109:E109)</f>
        <v>0</v>
      </c>
      <c r="F110" s="21">
        <f>(D110-E110)</f>
        <v>2000</v>
      </c>
      <c r="G110" s="374"/>
    </row>
    <row r="111" spans="1:7" x14ac:dyDescent="0.25">
      <c r="A111" s="374"/>
      <c r="B111" s="20"/>
      <c r="C111" s="3"/>
      <c r="D111" s="3"/>
      <c r="E111" s="3"/>
      <c r="F111" s="19"/>
      <c r="G111" s="374"/>
    </row>
    <row r="112" spans="1:7" x14ac:dyDescent="0.25">
      <c r="A112" s="374"/>
      <c r="B112" s="13" t="s">
        <v>117</v>
      </c>
      <c r="C112" s="2"/>
      <c r="D112" s="2"/>
      <c r="E112" s="2"/>
      <c r="F112" s="14"/>
      <c r="G112" s="374"/>
    </row>
    <row r="113" spans="1:7" x14ac:dyDescent="0.25">
      <c r="A113" s="374"/>
      <c r="B113" s="20"/>
      <c r="C113" s="3" t="s">
        <v>118</v>
      </c>
      <c r="D113" s="4">
        <f>'FY2020 November Account'!F113</f>
        <v>4500</v>
      </c>
      <c r="E113" s="4">
        <v>0</v>
      </c>
      <c r="F113" s="15">
        <f t="shared" ref="F113:F115" si="10">(D113-E113)</f>
        <v>4500</v>
      </c>
      <c r="G113" s="374"/>
    </row>
    <row r="114" spans="1:7" x14ac:dyDescent="0.25">
      <c r="A114" s="374"/>
      <c r="B114" s="20"/>
      <c r="C114" s="3" t="s">
        <v>119</v>
      </c>
      <c r="D114" s="4">
        <f>'FY2020 November Account'!F114</f>
        <v>3000</v>
      </c>
      <c r="E114" s="4">
        <v>0</v>
      </c>
      <c r="F114" s="15">
        <f t="shared" si="10"/>
        <v>3000</v>
      </c>
      <c r="G114" s="374"/>
    </row>
    <row r="115" spans="1:7" x14ac:dyDescent="0.25">
      <c r="A115" s="374"/>
      <c r="B115" s="20"/>
      <c r="C115" s="3" t="s">
        <v>120</v>
      </c>
      <c r="D115" s="4">
        <f>'FY2020 November Account'!F115</f>
        <v>4500</v>
      </c>
      <c r="E115" s="4">
        <v>0</v>
      </c>
      <c r="F115" s="15">
        <f t="shared" si="10"/>
        <v>4500</v>
      </c>
      <c r="G115" s="374"/>
    </row>
    <row r="116" spans="1:7" x14ac:dyDescent="0.25">
      <c r="A116" s="374"/>
      <c r="B116" s="16" t="s">
        <v>121</v>
      </c>
      <c r="C116" s="2"/>
      <c r="D116" s="5">
        <f>'FY2020 November Account'!F116</f>
        <v>12000</v>
      </c>
      <c r="E116" s="6">
        <f>SUM(E113:E115)</f>
        <v>0</v>
      </c>
      <c r="F116" s="21">
        <f>(D116-E116)</f>
        <v>12000</v>
      </c>
      <c r="G116" s="374"/>
    </row>
    <row r="117" spans="1:7" x14ac:dyDescent="0.25">
      <c r="A117" s="374"/>
      <c r="B117" s="20"/>
      <c r="C117" s="3"/>
      <c r="D117" s="3"/>
      <c r="E117" s="3"/>
      <c r="F117" s="19"/>
      <c r="G117" s="374"/>
    </row>
    <row r="118" spans="1:7" x14ac:dyDescent="0.25">
      <c r="A118" s="374"/>
      <c r="B118" s="47" t="s">
        <v>167</v>
      </c>
      <c r="C118" s="48"/>
      <c r="D118" s="49">
        <f>'FY2020 November Account'!F118</f>
        <v>54000</v>
      </c>
      <c r="E118" s="49">
        <f>SUM(E101, E106, E110, E116)</f>
        <v>202.47</v>
      </c>
      <c r="F118" s="50">
        <f>(D118-E118)</f>
        <v>53797.53</v>
      </c>
      <c r="G118" s="374"/>
    </row>
    <row r="119" spans="1:7" x14ac:dyDescent="0.25">
      <c r="A119" s="374"/>
      <c r="B119" s="20"/>
      <c r="C119" s="3"/>
      <c r="D119" s="3"/>
      <c r="E119" s="3"/>
      <c r="F119" s="19"/>
      <c r="G119" s="374"/>
    </row>
    <row r="120" spans="1:7" x14ac:dyDescent="0.25">
      <c r="A120" s="374"/>
      <c r="B120" s="38" t="s">
        <v>131</v>
      </c>
      <c r="C120" s="39"/>
      <c r="D120" s="39"/>
      <c r="E120" s="39"/>
      <c r="F120" s="40"/>
      <c r="G120" s="374"/>
    </row>
    <row r="121" spans="1:7" x14ac:dyDescent="0.25">
      <c r="A121" s="374"/>
      <c r="B121" s="18"/>
      <c r="C121" s="3"/>
      <c r="D121" s="3"/>
      <c r="E121" s="3"/>
      <c r="F121" s="19"/>
      <c r="G121" s="374"/>
    </row>
    <row r="122" spans="1:7" x14ac:dyDescent="0.25">
      <c r="A122" s="374"/>
      <c r="B122" s="13" t="s">
        <v>122</v>
      </c>
      <c r="C122" s="2"/>
      <c r="D122" s="2"/>
      <c r="E122" s="2"/>
      <c r="F122" s="14"/>
      <c r="G122" s="374"/>
    </row>
    <row r="123" spans="1:7" x14ac:dyDescent="0.25">
      <c r="A123" s="374"/>
      <c r="B123" s="20"/>
      <c r="C123" s="3" t="s">
        <v>123</v>
      </c>
      <c r="D123" s="4">
        <f>'FY2020 November Account'!F123</f>
        <v>18678.830000000002</v>
      </c>
      <c r="E123" s="4">
        <f>SUMIFS(TraFY2020Dec[[ Amount]],TraFY2020Dec[[ Acct Desc]], "Fiscal Agent*")</f>
        <v>0</v>
      </c>
      <c r="F123" s="15">
        <f t="shared" ref="F123" si="11">(D123-E123)</f>
        <v>18678.830000000002</v>
      </c>
      <c r="G123" s="374"/>
    </row>
    <row r="124" spans="1:7" x14ac:dyDescent="0.25">
      <c r="A124" s="374"/>
      <c r="B124" s="16" t="s">
        <v>124</v>
      </c>
      <c r="C124" s="2"/>
      <c r="D124" s="5">
        <f>'FY2020 November Account'!F124</f>
        <v>18678.830000000002</v>
      </c>
      <c r="E124" s="6">
        <f>SUM(E123:E123)</f>
        <v>0</v>
      </c>
      <c r="F124" s="21">
        <f>(D124-E124)</f>
        <v>18678.830000000002</v>
      </c>
      <c r="G124" s="374"/>
    </row>
    <row r="125" spans="1:7" x14ac:dyDescent="0.25">
      <c r="A125" s="374"/>
      <c r="B125" s="20"/>
      <c r="C125" s="3"/>
      <c r="D125" s="3"/>
      <c r="E125" s="3"/>
      <c r="F125" s="19"/>
      <c r="G125" s="374"/>
    </row>
    <row r="126" spans="1:7" x14ac:dyDescent="0.25">
      <c r="A126" s="374"/>
      <c r="B126" s="37" t="s">
        <v>125</v>
      </c>
      <c r="C126" s="41"/>
      <c r="D126" s="42">
        <f>'FY2020 November Account'!F126</f>
        <v>18678.830000000002</v>
      </c>
      <c r="E126" s="42">
        <f>SUM(E124)</f>
        <v>0</v>
      </c>
      <c r="F126" s="43">
        <f>(D126-E126)</f>
        <v>18678.830000000002</v>
      </c>
      <c r="G126" s="374"/>
    </row>
    <row r="127" spans="1:7" x14ac:dyDescent="0.25">
      <c r="A127" s="374"/>
      <c r="B127" s="23"/>
      <c r="C127" s="7"/>
      <c r="D127" s="7"/>
      <c r="E127" s="7"/>
      <c r="F127" s="24"/>
      <c r="G127" s="374"/>
    </row>
    <row r="128" spans="1:7" x14ac:dyDescent="0.25">
      <c r="A128" s="374"/>
      <c r="B128" s="23"/>
      <c r="C128" s="7"/>
      <c r="D128" s="7"/>
      <c r="E128" s="7"/>
      <c r="F128" s="24"/>
      <c r="G128" s="374"/>
    </row>
    <row r="129" spans="1:7" ht="15.75" x14ac:dyDescent="0.25">
      <c r="A129" s="374"/>
      <c r="B129" s="25" t="s">
        <v>2393</v>
      </c>
      <c r="C129" s="8"/>
      <c r="D129" s="9"/>
      <c r="E129" s="10">
        <f>SUM(E34)</f>
        <v>10888.55</v>
      </c>
      <c r="F129" s="26"/>
      <c r="G129" s="374"/>
    </row>
    <row r="130" spans="1:7" ht="15.75" x14ac:dyDescent="0.25">
      <c r="A130" s="374"/>
      <c r="B130" s="25" t="s">
        <v>2394</v>
      </c>
      <c r="C130" s="8"/>
      <c r="D130" s="9"/>
      <c r="E130" s="10">
        <f>SUM(E64, E79, E95, E118, E126)</f>
        <v>12173.99</v>
      </c>
      <c r="F130" s="26"/>
      <c r="G130" s="374"/>
    </row>
    <row r="131" spans="1:7" ht="16.5" thickBot="1" x14ac:dyDescent="0.3">
      <c r="A131" s="374"/>
      <c r="B131" s="27" t="s">
        <v>2395</v>
      </c>
      <c r="C131" s="28"/>
      <c r="D131" s="29"/>
      <c r="E131" s="30">
        <f>(E129-E130)</f>
        <v>-1285.4400000000005</v>
      </c>
      <c r="F131" s="31"/>
      <c r="G131" s="374"/>
    </row>
    <row r="132" spans="1:7" ht="15.75" thickBot="1" x14ac:dyDescent="0.3">
      <c r="A132" s="375" t="b">
        <f>IF(($E$129+$E$130)=(SUM('FY2020 December Transactions'!E:E)),TRUE,FALSE)</f>
        <v>1</v>
      </c>
      <c r="B132" s="376"/>
      <c r="C132" s="376"/>
      <c r="D132" s="376"/>
      <c r="E132" s="376"/>
      <c r="F132" s="376"/>
      <c r="G132" s="377"/>
    </row>
    <row r="133" spans="1:7" x14ac:dyDescent="0.25">
      <c r="F133" s="93"/>
    </row>
    <row r="134" spans="1:7" x14ac:dyDescent="0.25">
      <c r="C134" s="93"/>
    </row>
    <row r="135" spans="1:7" x14ac:dyDescent="0.25">
      <c r="E135" s="93"/>
    </row>
    <row r="138" spans="1:7" x14ac:dyDescent="0.25">
      <c r="E138" s="93"/>
    </row>
  </sheetData>
  <mergeCells count="7">
    <mergeCell ref="A132:G132"/>
    <mergeCell ref="A1:G1"/>
    <mergeCell ref="A2:A131"/>
    <mergeCell ref="B2:F3"/>
    <mergeCell ref="G2:G131"/>
    <mergeCell ref="B6:F6"/>
    <mergeCell ref="B36:F36"/>
  </mergeCells>
  <conditionalFormatting sqref="A1">
    <cfRule type="cellIs" dxfId="461" priority="8" operator="equal">
      <formula>TRUE</formula>
    </cfRule>
  </conditionalFormatting>
  <conditionalFormatting sqref="A1:A91 G2:G91 G93:G104 A93:A104 A106:A131 G106:G131">
    <cfRule type="cellIs" dxfId="460" priority="7" operator="equal">
      <formula>FALSE</formula>
    </cfRule>
  </conditionalFormatting>
  <conditionalFormatting sqref="A132:G132 G2:G91 A2:A91 A93:A104 G93:G104 G106:G131 A106:A131">
    <cfRule type="cellIs" dxfId="459" priority="6" operator="equal">
      <formula>TRUE</formula>
    </cfRule>
  </conditionalFormatting>
  <conditionalFormatting sqref="A132:G132">
    <cfRule type="cellIs" dxfId="458" priority="5" operator="equal">
      <formula>FALSE</formula>
    </cfRule>
  </conditionalFormatting>
  <conditionalFormatting sqref="A92 G92">
    <cfRule type="cellIs" dxfId="457" priority="4" operator="equal">
      <formula>FALSE</formula>
    </cfRule>
  </conditionalFormatting>
  <conditionalFormatting sqref="G92 A92">
    <cfRule type="cellIs" dxfId="456" priority="3" operator="equal">
      <formula>TRUE</formula>
    </cfRule>
  </conditionalFormatting>
  <conditionalFormatting sqref="A105 G105">
    <cfRule type="cellIs" dxfId="455" priority="2" operator="equal">
      <formula>FALSE</formula>
    </cfRule>
  </conditionalFormatting>
  <conditionalFormatting sqref="G105 A105">
    <cfRule type="cellIs" dxfId="454" priority="1" operator="equal">
      <formula>TRUE</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069A9-3586-4517-937B-21364625A506}">
  <dimension ref="A1:F55"/>
  <sheetViews>
    <sheetView workbookViewId="0">
      <selection activeCell="G49" sqref="G49"/>
    </sheetView>
  </sheetViews>
  <sheetFormatPr defaultRowHeight="15" x14ac:dyDescent="0.25"/>
  <cols>
    <col min="1" max="1" width="10.7109375" style="36" customWidth="1"/>
    <col min="2" max="6" width="35.7109375" style="36" customWidth="1"/>
    <col min="7" max="16384" width="9.140625" style="36"/>
  </cols>
  <sheetData>
    <row r="1" spans="1:6" ht="16.5" x14ac:dyDescent="0.3">
      <c r="A1" s="91" t="s">
        <v>0</v>
      </c>
      <c r="B1" s="91" t="s">
        <v>1</v>
      </c>
      <c r="C1" s="91" t="s">
        <v>2</v>
      </c>
      <c r="D1" s="91" t="s">
        <v>3</v>
      </c>
      <c r="E1" s="91" t="s">
        <v>4</v>
      </c>
      <c r="F1" s="92" t="s">
        <v>5</v>
      </c>
    </row>
    <row r="2" spans="1:6" ht="15.75" x14ac:dyDescent="0.25">
      <c r="A2" s="35">
        <v>526712</v>
      </c>
      <c r="B2" s="35" t="s">
        <v>14</v>
      </c>
      <c r="C2" s="35" t="s">
        <v>281</v>
      </c>
      <c r="D2" s="35" t="s">
        <v>2344</v>
      </c>
      <c r="E2" s="35">
        <v>193.38</v>
      </c>
      <c r="F2" s="34">
        <v>43800</v>
      </c>
    </row>
    <row r="3" spans="1:6" ht="15.75" x14ac:dyDescent="0.25">
      <c r="A3" s="35">
        <v>526712</v>
      </c>
      <c r="B3" s="35" t="s">
        <v>14</v>
      </c>
      <c r="C3" s="35" t="s">
        <v>2186</v>
      </c>
      <c r="D3" s="35" t="s">
        <v>2345</v>
      </c>
      <c r="E3" s="35">
        <v>266.64</v>
      </c>
      <c r="F3" s="34">
        <v>43800</v>
      </c>
    </row>
    <row r="4" spans="1:6" ht="15.75" x14ac:dyDescent="0.25">
      <c r="A4" s="35">
        <v>526712</v>
      </c>
      <c r="B4" s="35" t="s">
        <v>14</v>
      </c>
      <c r="C4" s="35" t="s">
        <v>2224</v>
      </c>
      <c r="D4" s="35" t="s">
        <v>2346</v>
      </c>
      <c r="E4" s="35">
        <v>148.5</v>
      </c>
      <c r="F4" s="34">
        <v>43800</v>
      </c>
    </row>
    <row r="5" spans="1:6" ht="15.75" x14ac:dyDescent="0.25">
      <c r="A5" s="35">
        <v>526741</v>
      </c>
      <c r="B5" s="35" t="s">
        <v>23</v>
      </c>
      <c r="C5" s="35" t="s">
        <v>1685</v>
      </c>
      <c r="D5" s="35" t="s">
        <v>2347</v>
      </c>
      <c r="E5" s="35">
        <v>356.16</v>
      </c>
      <c r="F5" s="34">
        <v>43800</v>
      </c>
    </row>
    <row r="6" spans="1:6" ht="15.75" x14ac:dyDescent="0.25">
      <c r="A6" s="35">
        <v>526741</v>
      </c>
      <c r="B6" s="35" t="s">
        <v>23</v>
      </c>
      <c r="C6" s="35" t="s">
        <v>1685</v>
      </c>
      <c r="D6" s="35" t="s">
        <v>2348</v>
      </c>
      <c r="E6" s="35">
        <v>89.04</v>
      </c>
      <c r="F6" s="34">
        <v>43800</v>
      </c>
    </row>
    <row r="7" spans="1:6" ht="15.75" x14ac:dyDescent="0.25">
      <c r="A7" s="35">
        <v>526742</v>
      </c>
      <c r="B7" s="35" t="s">
        <v>26</v>
      </c>
      <c r="C7" s="35" t="s">
        <v>281</v>
      </c>
      <c r="D7" s="35" t="s">
        <v>2344</v>
      </c>
      <c r="E7" s="35">
        <v>19.5</v>
      </c>
      <c r="F7" s="34">
        <v>43800</v>
      </c>
    </row>
    <row r="8" spans="1:6" ht="15.75" x14ac:dyDescent="0.25">
      <c r="A8" s="35">
        <v>558921</v>
      </c>
      <c r="B8" s="35" t="s">
        <v>262</v>
      </c>
      <c r="C8" s="35" t="s">
        <v>1428</v>
      </c>
      <c r="D8" s="35" t="s">
        <v>2349</v>
      </c>
      <c r="E8" s="35">
        <v>187</v>
      </c>
      <c r="F8" s="34">
        <v>43800</v>
      </c>
    </row>
    <row r="9" spans="1:6" ht="15.75" x14ac:dyDescent="0.25">
      <c r="A9" s="35">
        <v>526712</v>
      </c>
      <c r="B9" s="35" t="s">
        <v>14</v>
      </c>
      <c r="C9" s="35" t="s">
        <v>2350</v>
      </c>
      <c r="D9" s="35" t="s">
        <v>2351</v>
      </c>
      <c r="E9" s="35">
        <v>113.52</v>
      </c>
      <c r="F9" s="34">
        <v>43803</v>
      </c>
    </row>
    <row r="10" spans="1:6" ht="15.75" x14ac:dyDescent="0.25">
      <c r="A10" s="35">
        <v>526712</v>
      </c>
      <c r="B10" s="35" t="s">
        <v>14</v>
      </c>
      <c r="C10" s="35" t="s">
        <v>281</v>
      </c>
      <c r="D10" s="35" t="s">
        <v>2352</v>
      </c>
      <c r="E10" s="35">
        <v>111.54</v>
      </c>
      <c r="F10" s="34">
        <v>43804</v>
      </c>
    </row>
    <row r="11" spans="1:6" ht="15.75" x14ac:dyDescent="0.25">
      <c r="A11" s="35">
        <v>526712</v>
      </c>
      <c r="B11" s="35" t="s">
        <v>14</v>
      </c>
      <c r="C11" s="35" t="s">
        <v>1304</v>
      </c>
      <c r="D11" s="35" t="s">
        <v>2353</v>
      </c>
      <c r="E11" s="35">
        <v>125.74</v>
      </c>
      <c r="F11" s="34">
        <v>43804</v>
      </c>
    </row>
    <row r="12" spans="1:6" ht="15.75" x14ac:dyDescent="0.25">
      <c r="A12" s="35">
        <v>487110</v>
      </c>
      <c r="B12" s="35" t="s">
        <v>36</v>
      </c>
      <c r="C12" s="35" t="s">
        <v>2355</v>
      </c>
      <c r="D12" s="35" t="s">
        <v>2356</v>
      </c>
      <c r="E12" s="35">
        <v>1813.55</v>
      </c>
      <c r="F12" s="34">
        <v>43804</v>
      </c>
    </row>
    <row r="13" spans="1:6" ht="15.75" x14ac:dyDescent="0.25">
      <c r="A13" s="35">
        <v>487110</v>
      </c>
      <c r="B13" s="35" t="s">
        <v>36</v>
      </c>
      <c r="C13" s="35" t="s">
        <v>2357</v>
      </c>
      <c r="D13" s="35" t="s">
        <v>2356</v>
      </c>
      <c r="E13" s="35">
        <v>9075</v>
      </c>
      <c r="F13" s="34">
        <v>43804</v>
      </c>
    </row>
    <row r="14" spans="1:6" ht="15.75" x14ac:dyDescent="0.25">
      <c r="A14" s="35">
        <v>471271</v>
      </c>
      <c r="B14" s="35" t="s">
        <v>1763</v>
      </c>
      <c r="C14" s="35" t="s">
        <v>2358</v>
      </c>
      <c r="D14" s="35" t="s">
        <v>2359</v>
      </c>
      <c r="E14" s="35">
        <v>65.47</v>
      </c>
      <c r="F14" s="34">
        <v>43808</v>
      </c>
    </row>
    <row r="15" spans="1:6" ht="15.75" x14ac:dyDescent="0.25">
      <c r="A15" s="35">
        <v>587890</v>
      </c>
      <c r="B15" s="35" t="s">
        <v>32</v>
      </c>
      <c r="C15" s="35" t="s">
        <v>2360</v>
      </c>
      <c r="D15" s="35" t="s">
        <v>2361</v>
      </c>
      <c r="E15" s="35">
        <v>202.47</v>
      </c>
      <c r="F15" s="34">
        <v>43815</v>
      </c>
    </row>
    <row r="16" spans="1:6" ht="15.75" x14ac:dyDescent="0.25">
      <c r="A16" s="35">
        <v>558979</v>
      </c>
      <c r="B16" s="35" t="s">
        <v>150</v>
      </c>
      <c r="C16" s="35" t="s">
        <v>2214</v>
      </c>
      <c r="D16" s="35" t="s">
        <v>2362</v>
      </c>
      <c r="E16" s="35">
        <v>125</v>
      </c>
      <c r="F16" s="34">
        <v>43816</v>
      </c>
    </row>
    <row r="17" spans="1:6" ht="15.75" x14ac:dyDescent="0.25">
      <c r="A17" s="35">
        <v>558979</v>
      </c>
      <c r="B17" s="35" t="s">
        <v>150</v>
      </c>
      <c r="C17" s="35" t="s">
        <v>2216</v>
      </c>
      <c r="D17" s="35" t="s">
        <v>2363</v>
      </c>
      <c r="E17" s="35">
        <v>125</v>
      </c>
      <c r="F17" s="34">
        <v>43816</v>
      </c>
    </row>
    <row r="18" spans="1:6" ht="15.75" x14ac:dyDescent="0.25">
      <c r="A18" s="35">
        <v>558979</v>
      </c>
      <c r="B18" s="35" t="s">
        <v>150</v>
      </c>
      <c r="C18" s="35" t="s">
        <v>1533</v>
      </c>
      <c r="D18" s="35" t="s">
        <v>2364</v>
      </c>
      <c r="E18" s="35">
        <v>125</v>
      </c>
      <c r="F18" s="34">
        <v>43816</v>
      </c>
    </row>
    <row r="19" spans="1:6" ht="15.75" x14ac:dyDescent="0.25">
      <c r="A19" s="35">
        <v>558979</v>
      </c>
      <c r="B19" s="35" t="s">
        <v>150</v>
      </c>
      <c r="C19" s="35" t="s">
        <v>2211</v>
      </c>
      <c r="D19" s="35" t="s">
        <v>2365</v>
      </c>
      <c r="E19" s="35">
        <v>125</v>
      </c>
      <c r="F19" s="34">
        <v>43816</v>
      </c>
    </row>
    <row r="20" spans="1:6" ht="15.75" x14ac:dyDescent="0.25">
      <c r="A20" s="35">
        <v>558979</v>
      </c>
      <c r="B20" s="35" t="s">
        <v>150</v>
      </c>
      <c r="C20" s="35" t="s">
        <v>21</v>
      </c>
      <c r="D20" s="35" t="s">
        <v>2366</v>
      </c>
      <c r="E20" s="35">
        <v>200</v>
      </c>
      <c r="F20" s="34">
        <v>43816</v>
      </c>
    </row>
    <row r="21" spans="1:6" ht="15.75" x14ac:dyDescent="0.25">
      <c r="A21" s="35">
        <v>558979</v>
      </c>
      <c r="B21" s="35" t="s">
        <v>150</v>
      </c>
      <c r="C21" s="35" t="s">
        <v>2233</v>
      </c>
      <c r="D21" s="35" t="s">
        <v>2367</v>
      </c>
      <c r="E21" s="35">
        <v>125</v>
      </c>
      <c r="F21" s="34">
        <v>43816</v>
      </c>
    </row>
    <row r="22" spans="1:6" ht="15.75" x14ac:dyDescent="0.25">
      <c r="A22" s="35">
        <v>558979</v>
      </c>
      <c r="B22" s="35" t="s">
        <v>150</v>
      </c>
      <c r="C22" s="35" t="s">
        <v>1304</v>
      </c>
      <c r="D22" s="35" t="s">
        <v>2368</v>
      </c>
      <c r="E22" s="35">
        <v>400</v>
      </c>
      <c r="F22" s="34">
        <v>43816</v>
      </c>
    </row>
    <row r="23" spans="1:6" ht="15.75" x14ac:dyDescent="0.25">
      <c r="A23" s="35">
        <v>558979</v>
      </c>
      <c r="B23" s="35" t="s">
        <v>150</v>
      </c>
      <c r="C23" s="35" t="s">
        <v>2157</v>
      </c>
      <c r="D23" s="35" t="s">
        <v>2369</v>
      </c>
      <c r="E23" s="35">
        <v>125</v>
      </c>
      <c r="F23" s="34">
        <v>43816</v>
      </c>
    </row>
    <row r="24" spans="1:6" ht="15.75" x14ac:dyDescent="0.25">
      <c r="A24" s="35">
        <v>558979</v>
      </c>
      <c r="B24" s="35" t="s">
        <v>150</v>
      </c>
      <c r="C24" s="35" t="s">
        <v>2163</v>
      </c>
      <c r="D24" s="35" t="s">
        <v>2370</v>
      </c>
      <c r="E24" s="35">
        <v>125</v>
      </c>
      <c r="F24" s="34">
        <v>43816</v>
      </c>
    </row>
    <row r="25" spans="1:6" ht="15.75" x14ac:dyDescent="0.25">
      <c r="A25" s="35">
        <v>558979</v>
      </c>
      <c r="B25" s="35" t="s">
        <v>150</v>
      </c>
      <c r="C25" s="35" t="s">
        <v>2186</v>
      </c>
      <c r="D25" s="35" t="s">
        <v>2371</v>
      </c>
      <c r="E25" s="35">
        <v>125</v>
      </c>
      <c r="F25" s="34">
        <v>43816</v>
      </c>
    </row>
    <row r="26" spans="1:6" ht="15.75" x14ac:dyDescent="0.25">
      <c r="A26" s="35">
        <v>558979</v>
      </c>
      <c r="B26" s="35" t="s">
        <v>150</v>
      </c>
      <c r="C26" s="35" t="s">
        <v>1531</v>
      </c>
      <c r="D26" s="35" t="s">
        <v>2372</v>
      </c>
      <c r="E26" s="35">
        <v>200</v>
      </c>
      <c r="F26" s="34">
        <v>43816</v>
      </c>
    </row>
    <row r="27" spans="1:6" ht="15.75" x14ac:dyDescent="0.25">
      <c r="A27" s="35">
        <v>558979</v>
      </c>
      <c r="B27" s="35" t="s">
        <v>150</v>
      </c>
      <c r="C27" s="35" t="s">
        <v>2229</v>
      </c>
      <c r="D27" s="35" t="s">
        <v>2373</v>
      </c>
      <c r="E27" s="35">
        <v>125</v>
      </c>
      <c r="F27" s="34">
        <v>43816</v>
      </c>
    </row>
    <row r="28" spans="1:6" ht="15.75" x14ac:dyDescent="0.25">
      <c r="A28" s="35">
        <v>558979</v>
      </c>
      <c r="B28" s="35" t="s">
        <v>150</v>
      </c>
      <c r="C28" s="35" t="s">
        <v>2224</v>
      </c>
      <c r="D28" s="35" t="s">
        <v>2374</v>
      </c>
      <c r="E28" s="35">
        <v>125</v>
      </c>
      <c r="F28" s="34">
        <v>43816</v>
      </c>
    </row>
    <row r="29" spans="1:6" ht="15.75" x14ac:dyDescent="0.25">
      <c r="A29" s="35">
        <v>558979</v>
      </c>
      <c r="B29" s="35" t="s">
        <v>150</v>
      </c>
      <c r="C29" s="35" t="s">
        <v>2222</v>
      </c>
      <c r="D29" s="35" t="s">
        <v>2375</v>
      </c>
      <c r="E29" s="35">
        <v>125</v>
      </c>
      <c r="F29" s="34">
        <v>43816</v>
      </c>
    </row>
    <row r="30" spans="1:6" ht="15.75" x14ac:dyDescent="0.25">
      <c r="A30" s="35">
        <v>558979</v>
      </c>
      <c r="B30" s="35" t="s">
        <v>150</v>
      </c>
      <c r="C30" s="35" t="s">
        <v>1431</v>
      </c>
      <c r="D30" s="35" t="s">
        <v>2376</v>
      </c>
      <c r="E30" s="35">
        <v>200</v>
      </c>
      <c r="F30" s="34">
        <v>43816</v>
      </c>
    </row>
    <row r="31" spans="1:6" ht="15.75" x14ac:dyDescent="0.25">
      <c r="A31" s="35">
        <v>558979</v>
      </c>
      <c r="B31" s="35" t="s">
        <v>150</v>
      </c>
      <c r="C31" s="35" t="s">
        <v>2203</v>
      </c>
      <c r="D31" s="35" t="s">
        <v>2377</v>
      </c>
      <c r="E31" s="35">
        <v>125</v>
      </c>
      <c r="F31" s="34">
        <v>43816</v>
      </c>
    </row>
    <row r="32" spans="1:6" ht="15.75" x14ac:dyDescent="0.25">
      <c r="A32" s="35">
        <v>558979</v>
      </c>
      <c r="B32" s="35" t="s">
        <v>150</v>
      </c>
      <c r="C32" s="35" t="s">
        <v>1493</v>
      </c>
      <c r="D32" s="35" t="s">
        <v>2378</v>
      </c>
      <c r="E32" s="35">
        <v>200</v>
      </c>
      <c r="F32" s="34">
        <v>43816</v>
      </c>
    </row>
    <row r="33" spans="1:6" ht="15.75" x14ac:dyDescent="0.25">
      <c r="A33" s="35">
        <v>558979</v>
      </c>
      <c r="B33" s="35" t="s">
        <v>150</v>
      </c>
      <c r="C33" s="35" t="s">
        <v>2227</v>
      </c>
      <c r="D33" s="35" t="s">
        <v>2379</v>
      </c>
      <c r="E33" s="35">
        <v>125</v>
      </c>
      <c r="F33" s="34">
        <v>43816</v>
      </c>
    </row>
    <row r="34" spans="1:6" ht="15.75" x14ac:dyDescent="0.25">
      <c r="A34" s="35">
        <v>558979</v>
      </c>
      <c r="B34" s="35" t="s">
        <v>150</v>
      </c>
      <c r="C34" s="35" t="s">
        <v>2002</v>
      </c>
      <c r="D34" s="35" t="s">
        <v>2380</v>
      </c>
      <c r="E34" s="35">
        <v>225</v>
      </c>
      <c r="F34" s="34">
        <v>43816</v>
      </c>
    </row>
    <row r="35" spans="1:6" ht="15.75" x14ac:dyDescent="0.25">
      <c r="A35" s="35">
        <v>558979</v>
      </c>
      <c r="B35" s="35" t="s">
        <v>150</v>
      </c>
      <c r="C35" s="35" t="s">
        <v>1410</v>
      </c>
      <c r="D35" s="35" t="s">
        <v>2381</v>
      </c>
      <c r="E35" s="35">
        <v>200</v>
      </c>
      <c r="F35" s="34">
        <v>43816</v>
      </c>
    </row>
    <row r="36" spans="1:6" ht="15.75" x14ac:dyDescent="0.25">
      <c r="A36" s="35">
        <v>558979</v>
      </c>
      <c r="B36" s="35" t="s">
        <v>150</v>
      </c>
      <c r="C36" s="35" t="s">
        <v>2220</v>
      </c>
      <c r="D36" s="35" t="s">
        <v>2382</v>
      </c>
      <c r="E36" s="35">
        <v>125</v>
      </c>
      <c r="F36" s="34">
        <v>43816</v>
      </c>
    </row>
    <row r="37" spans="1:6" ht="15.75" x14ac:dyDescent="0.25">
      <c r="A37" s="35">
        <v>558979</v>
      </c>
      <c r="B37" s="35" t="s">
        <v>150</v>
      </c>
      <c r="C37" s="35" t="s">
        <v>15</v>
      </c>
      <c r="D37" s="35" t="s">
        <v>2383</v>
      </c>
      <c r="E37" s="35">
        <v>200</v>
      </c>
      <c r="F37" s="34">
        <v>43816</v>
      </c>
    </row>
    <row r="38" spans="1:6" ht="15.75" x14ac:dyDescent="0.25">
      <c r="A38" s="35">
        <v>558979</v>
      </c>
      <c r="B38" s="35" t="s">
        <v>150</v>
      </c>
      <c r="C38" s="35" t="s">
        <v>281</v>
      </c>
      <c r="D38" s="35" t="s">
        <v>2384</v>
      </c>
      <c r="E38" s="35">
        <v>650</v>
      </c>
      <c r="F38" s="34">
        <v>43816</v>
      </c>
    </row>
    <row r="39" spans="1:6" ht="15.75" x14ac:dyDescent="0.25">
      <c r="A39" s="35">
        <v>558979</v>
      </c>
      <c r="B39" s="35" t="s">
        <v>150</v>
      </c>
      <c r="C39" s="35" t="s">
        <v>2206</v>
      </c>
      <c r="D39" s="35" t="s">
        <v>2385</v>
      </c>
      <c r="E39" s="35">
        <v>125</v>
      </c>
      <c r="F39" s="34">
        <v>43816</v>
      </c>
    </row>
    <row r="40" spans="1:6" ht="15.75" x14ac:dyDescent="0.25">
      <c r="A40" s="35">
        <v>558979</v>
      </c>
      <c r="B40" s="35" t="s">
        <v>150</v>
      </c>
      <c r="C40" s="35" t="s">
        <v>2236</v>
      </c>
      <c r="D40" s="35" t="s">
        <v>2386</v>
      </c>
      <c r="E40" s="35">
        <v>125</v>
      </c>
      <c r="F40" s="34">
        <v>43816</v>
      </c>
    </row>
    <row r="41" spans="1:6" ht="15.75" x14ac:dyDescent="0.25">
      <c r="A41" s="35">
        <v>558979</v>
      </c>
      <c r="B41" s="35" t="s">
        <v>150</v>
      </c>
      <c r="C41" s="35" t="s">
        <v>2208</v>
      </c>
      <c r="D41" s="35" t="s">
        <v>2387</v>
      </c>
      <c r="E41" s="35">
        <v>125</v>
      </c>
      <c r="F41" s="34">
        <v>43816</v>
      </c>
    </row>
    <row r="42" spans="1:6" ht="15.75" x14ac:dyDescent="0.25">
      <c r="A42" s="35">
        <v>531110</v>
      </c>
      <c r="B42" s="35" t="s">
        <v>27</v>
      </c>
      <c r="C42" s="35" t="s">
        <v>2388</v>
      </c>
      <c r="D42" s="35" t="s">
        <v>2389</v>
      </c>
      <c r="E42" s="35">
        <v>-3.72</v>
      </c>
      <c r="F42" s="34">
        <v>43816</v>
      </c>
    </row>
    <row r="43" spans="1:6" ht="15.75" x14ac:dyDescent="0.25">
      <c r="A43" s="35">
        <v>511120</v>
      </c>
      <c r="B43" s="35" t="s">
        <v>6</v>
      </c>
      <c r="C43" s="35" t="s">
        <v>7</v>
      </c>
      <c r="D43" s="35" t="s">
        <v>2390</v>
      </c>
      <c r="E43" s="35">
        <v>4416.6400000000003</v>
      </c>
      <c r="F43" s="34">
        <v>43822</v>
      </c>
    </row>
    <row r="44" spans="1:6" ht="15.75" x14ac:dyDescent="0.25">
      <c r="A44" s="35">
        <v>515120</v>
      </c>
      <c r="B44" s="35" t="s">
        <v>9</v>
      </c>
      <c r="C44" s="35" t="s">
        <v>7</v>
      </c>
      <c r="D44" s="35" t="s">
        <v>2390</v>
      </c>
      <c r="E44" s="35">
        <v>269.35000000000002</v>
      </c>
      <c r="F44" s="34">
        <v>43822</v>
      </c>
    </row>
    <row r="45" spans="1:6" ht="15.75" x14ac:dyDescent="0.25">
      <c r="A45" s="35">
        <v>515130</v>
      </c>
      <c r="B45" s="35" t="s">
        <v>10</v>
      </c>
      <c r="C45" s="35" t="s">
        <v>7</v>
      </c>
      <c r="D45" s="35" t="s">
        <v>2390</v>
      </c>
      <c r="E45" s="35">
        <v>63</v>
      </c>
      <c r="F45" s="34">
        <v>43822</v>
      </c>
    </row>
    <row r="46" spans="1:6" ht="15.75" x14ac:dyDescent="0.25">
      <c r="A46" s="35">
        <v>515410</v>
      </c>
      <c r="B46" s="35" t="s">
        <v>11</v>
      </c>
      <c r="C46" s="35" t="s">
        <v>7</v>
      </c>
      <c r="D46" s="35" t="s">
        <v>2390</v>
      </c>
      <c r="E46" s="35">
        <v>302.10000000000002</v>
      </c>
      <c r="F46" s="34">
        <v>43822</v>
      </c>
    </row>
    <row r="47" spans="1:6" ht="15.75" x14ac:dyDescent="0.25">
      <c r="A47" s="35">
        <v>515420</v>
      </c>
      <c r="B47" s="35" t="s">
        <v>12</v>
      </c>
      <c r="C47" s="35" t="s">
        <v>7</v>
      </c>
      <c r="D47" s="35" t="s">
        <v>2390</v>
      </c>
      <c r="E47" s="35">
        <v>290.17</v>
      </c>
      <c r="F47" s="34">
        <v>43822</v>
      </c>
    </row>
    <row r="48" spans="1:6" ht="15.75" x14ac:dyDescent="0.25">
      <c r="A48" s="35">
        <v>515530</v>
      </c>
      <c r="B48" s="35" t="s">
        <v>13</v>
      </c>
      <c r="C48" s="35" t="s">
        <v>7</v>
      </c>
      <c r="D48" s="35" t="s">
        <v>2390</v>
      </c>
      <c r="E48" s="35">
        <v>357.49</v>
      </c>
      <c r="F48" s="34">
        <v>43822</v>
      </c>
    </row>
    <row r="55" spans="6:6" x14ac:dyDescent="0.25">
      <c r="F55" s="93"/>
    </row>
  </sheetData>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077F6-2FCF-4AE5-9823-06F0A403D9F5}">
  <dimension ref="A1:G138"/>
  <sheetViews>
    <sheetView topLeftCell="A2" workbookViewId="0">
      <selection activeCell="D25" sqref="D25"/>
    </sheetView>
  </sheetViews>
  <sheetFormatPr defaultRowHeight="15" x14ac:dyDescent="0.25"/>
  <cols>
    <col min="1" max="1" width="3.28515625" style="36" customWidth="1"/>
    <col min="2" max="6" width="40.7109375" style="36" customWidth="1"/>
    <col min="7" max="7" width="3.28515625" style="36" customWidth="1"/>
    <col min="8" max="16384" width="9.140625" style="36"/>
  </cols>
  <sheetData>
    <row r="1" spans="1:7" ht="15.75" thickBot="1" x14ac:dyDescent="0.3">
      <c r="A1" s="371" t="b">
        <f>IF(($E$129+$E$130)=(SUM('FY2020 November Transactions'!E:E)),TRUE,FALSE)</f>
        <v>1</v>
      </c>
      <c r="B1" s="372"/>
      <c r="C1" s="372"/>
      <c r="D1" s="372"/>
      <c r="E1" s="372"/>
      <c r="F1" s="372"/>
      <c r="G1" s="373"/>
    </row>
    <row r="2" spans="1:7" ht="26.25" customHeight="1" x14ac:dyDescent="0.25">
      <c r="A2" s="374" t="b">
        <f>IF(($E$129+$E$130)=(SUM('FY2020 November Transactions'!E:E)),TRUE,FALSE)</f>
        <v>1</v>
      </c>
      <c r="B2" s="350" t="s">
        <v>2278</v>
      </c>
      <c r="C2" s="351"/>
      <c r="D2" s="351"/>
      <c r="E2" s="351"/>
      <c r="F2" s="352"/>
      <c r="G2" s="374" t="b">
        <f>IF(($E$129+$E$130)=(SUM('FY2020 November Transactions'!E:E)),TRUE,FALSE)</f>
        <v>1</v>
      </c>
    </row>
    <row r="3" spans="1:7" ht="26.25" customHeight="1" x14ac:dyDescent="0.25">
      <c r="A3" s="374"/>
      <c r="B3" s="353"/>
      <c r="C3" s="354"/>
      <c r="D3" s="354"/>
      <c r="E3" s="354"/>
      <c r="F3" s="355"/>
      <c r="G3" s="374"/>
    </row>
    <row r="4" spans="1:7" ht="15.75" x14ac:dyDescent="0.25">
      <c r="A4" s="374"/>
      <c r="B4" s="316" t="s">
        <v>53</v>
      </c>
      <c r="C4" s="317" t="s">
        <v>54</v>
      </c>
      <c r="D4" s="317" t="s">
        <v>2111</v>
      </c>
      <c r="E4" s="317" t="s">
        <v>168</v>
      </c>
      <c r="F4" s="318" t="s">
        <v>2112</v>
      </c>
      <c r="G4" s="374"/>
    </row>
    <row r="5" spans="1:7" ht="15.75" x14ac:dyDescent="0.25">
      <c r="A5" s="374"/>
      <c r="B5" s="11"/>
      <c r="C5" s="1"/>
      <c r="D5" s="1"/>
      <c r="E5" s="1"/>
      <c r="F5" s="12"/>
      <c r="G5" s="374"/>
    </row>
    <row r="6" spans="1:7" ht="15.75" x14ac:dyDescent="0.25">
      <c r="A6" s="374"/>
      <c r="B6" s="344" t="s">
        <v>1979</v>
      </c>
      <c r="C6" s="345"/>
      <c r="D6" s="345"/>
      <c r="E6" s="345"/>
      <c r="F6" s="346"/>
      <c r="G6" s="374"/>
    </row>
    <row r="7" spans="1:7" ht="15.75" x14ac:dyDescent="0.25">
      <c r="A7" s="374"/>
      <c r="B7" s="11"/>
      <c r="C7" s="1"/>
      <c r="D7" s="1"/>
      <c r="E7" s="1"/>
      <c r="F7" s="12"/>
      <c r="G7" s="374"/>
    </row>
    <row r="8" spans="1:7" x14ac:dyDescent="0.25">
      <c r="A8" s="374"/>
      <c r="B8" s="80" t="s">
        <v>132</v>
      </c>
      <c r="C8" s="81"/>
      <c r="D8" s="81"/>
      <c r="E8" s="81"/>
      <c r="F8" s="82"/>
      <c r="G8" s="374"/>
    </row>
    <row r="9" spans="1:7" ht="15.75" x14ac:dyDescent="0.25">
      <c r="A9" s="374"/>
      <c r="B9" s="11"/>
      <c r="C9" s="1"/>
      <c r="D9" s="1"/>
      <c r="E9" s="1"/>
      <c r="F9" s="12"/>
      <c r="G9" s="374"/>
    </row>
    <row r="10" spans="1:7" x14ac:dyDescent="0.25">
      <c r="A10" s="374"/>
      <c r="B10" s="13" t="s">
        <v>133</v>
      </c>
      <c r="C10" s="2"/>
      <c r="D10" s="2"/>
      <c r="E10" s="2"/>
      <c r="F10" s="14"/>
      <c r="G10" s="374"/>
    </row>
    <row r="11" spans="1:7" ht="15.75" x14ac:dyDescent="0.25">
      <c r="A11" s="374"/>
      <c r="B11" s="11"/>
      <c r="C11" s="3" t="s">
        <v>134</v>
      </c>
      <c r="D11" s="4">
        <f>'FY2020 October Account'!F11</f>
        <v>274434.5</v>
      </c>
      <c r="E11" s="4">
        <f>E131</f>
        <v>-20884.060000000001</v>
      </c>
      <c r="F11" s="15">
        <f>(D11+E11)</f>
        <v>253550.44</v>
      </c>
      <c r="G11" s="374"/>
    </row>
    <row r="12" spans="1:7" x14ac:dyDescent="0.25">
      <c r="A12" s="374"/>
      <c r="B12" s="16" t="s">
        <v>136</v>
      </c>
      <c r="C12" s="2"/>
      <c r="D12" s="5">
        <f>'FY2020 October Account'!F12</f>
        <v>274434.5</v>
      </c>
      <c r="E12" s="5">
        <f>SUM(E11:E11)</f>
        <v>-20884.060000000001</v>
      </c>
      <c r="F12" s="17">
        <f>(D12+E12)</f>
        <v>253550.44</v>
      </c>
      <c r="G12" s="374"/>
    </row>
    <row r="13" spans="1:7" ht="15.75" x14ac:dyDescent="0.25">
      <c r="A13" s="374"/>
      <c r="B13" s="11"/>
      <c r="C13" s="1"/>
      <c r="D13" s="1"/>
      <c r="E13" s="1"/>
      <c r="F13" s="12"/>
      <c r="G13" s="374"/>
    </row>
    <row r="14" spans="1:7" x14ac:dyDescent="0.25">
      <c r="A14" s="374"/>
      <c r="B14" s="13" t="s">
        <v>139</v>
      </c>
      <c r="C14" s="2"/>
      <c r="D14" s="2"/>
      <c r="E14" s="2"/>
      <c r="F14" s="14"/>
      <c r="G14" s="374"/>
    </row>
    <row r="15" spans="1:7" ht="15.75" x14ac:dyDescent="0.25">
      <c r="A15" s="374"/>
      <c r="B15" s="11"/>
      <c r="C15" s="3" t="s">
        <v>135</v>
      </c>
      <c r="D15" s="4">
        <f>'FY2020 October Account'!F15</f>
        <v>0</v>
      </c>
      <c r="E15" s="4">
        <f>E75</f>
        <v>452.02</v>
      </c>
      <c r="F15" s="15">
        <f>(D15+E15)</f>
        <v>452.02</v>
      </c>
      <c r="G15" s="374"/>
    </row>
    <row r="16" spans="1:7" ht="15.75" x14ac:dyDescent="0.25">
      <c r="A16" s="374"/>
      <c r="B16" s="11"/>
      <c r="C16" s="3" t="s">
        <v>140</v>
      </c>
      <c r="D16" s="4">
        <f>'FY2020 October Account'!F16</f>
        <v>0</v>
      </c>
      <c r="E16" s="4">
        <v>0</v>
      </c>
      <c r="F16" s="15">
        <f>(D16+E16)</f>
        <v>0</v>
      </c>
      <c r="G16" s="374"/>
    </row>
    <row r="17" spans="1:7" x14ac:dyDescent="0.25">
      <c r="A17" s="374"/>
      <c r="B17" s="16" t="s">
        <v>137</v>
      </c>
      <c r="C17" s="2"/>
      <c r="D17" s="5">
        <f>'FY2020 October Account'!F17</f>
        <v>0</v>
      </c>
      <c r="E17" s="5">
        <f>SUM(E15:E16)</f>
        <v>452.02</v>
      </c>
      <c r="F17" s="17">
        <f>(D17+E17)</f>
        <v>452.02</v>
      </c>
      <c r="G17" s="374"/>
    </row>
    <row r="18" spans="1:7" ht="15.75" x14ac:dyDescent="0.25">
      <c r="A18" s="374"/>
      <c r="B18" s="11"/>
      <c r="C18" s="1"/>
      <c r="D18" s="1"/>
      <c r="E18" s="1"/>
      <c r="F18" s="12"/>
      <c r="G18" s="374"/>
    </row>
    <row r="19" spans="1:7" x14ac:dyDescent="0.25">
      <c r="A19" s="374"/>
      <c r="B19" s="83" t="s">
        <v>138</v>
      </c>
      <c r="C19" s="84"/>
      <c r="D19" s="85">
        <f>'FY2020 October Account'!F19</f>
        <v>274434.5</v>
      </c>
      <c r="E19" s="85">
        <f>SUM(E12,E17)</f>
        <v>-20432.04</v>
      </c>
      <c r="F19" s="86">
        <f>(D19+E19)</f>
        <v>254002.46</v>
      </c>
      <c r="G19" s="374"/>
    </row>
    <row r="20" spans="1:7" ht="15.75" x14ac:dyDescent="0.25">
      <c r="A20" s="374"/>
      <c r="B20" s="11"/>
      <c r="C20" s="1"/>
      <c r="D20" s="1"/>
      <c r="E20" s="1"/>
      <c r="F20" s="12"/>
      <c r="G20" s="374"/>
    </row>
    <row r="21" spans="1:7" x14ac:dyDescent="0.25">
      <c r="A21" s="374"/>
      <c r="B21" s="73" t="s">
        <v>55</v>
      </c>
      <c r="C21" s="74"/>
      <c r="D21" s="74"/>
      <c r="E21" s="74"/>
      <c r="F21" s="75"/>
      <c r="G21" s="374"/>
    </row>
    <row r="22" spans="1:7" ht="15.75" x14ac:dyDescent="0.25">
      <c r="A22" s="374"/>
      <c r="B22" s="11"/>
      <c r="C22" s="1"/>
      <c r="D22" s="1"/>
      <c r="E22" s="1"/>
      <c r="F22" s="12"/>
      <c r="G22" s="374"/>
    </row>
    <row r="23" spans="1:7" x14ac:dyDescent="0.25">
      <c r="A23" s="374"/>
      <c r="B23" s="13" t="s">
        <v>56</v>
      </c>
      <c r="C23" s="2"/>
      <c r="D23" s="2"/>
      <c r="E23" s="2"/>
      <c r="F23" s="14"/>
      <c r="G23" s="374"/>
    </row>
    <row r="24" spans="1:7" ht="15.75" x14ac:dyDescent="0.25">
      <c r="A24" s="374"/>
      <c r="B24" s="11"/>
      <c r="C24" s="3" t="s">
        <v>57</v>
      </c>
      <c r="D24" s="4">
        <f>'FY2020 October Account'!F24</f>
        <v>114109.96</v>
      </c>
      <c r="E24" s="4">
        <f>SUMIFS(TraFY2020Nov[[ Amount]],TraFY2020Nov[[ Acct Desc]], "Transfer In*") + SUMIFS(TraFY2020Nov[[ Amount]],TraFY2020Nov[[ Acct Desc]], "ASG FEE*")</f>
        <v>0</v>
      </c>
      <c r="F24" s="15">
        <f>(D24+E24)</f>
        <v>114109.96</v>
      </c>
      <c r="G24" s="374"/>
    </row>
    <row r="25" spans="1:7" ht="15.75" x14ac:dyDescent="0.25">
      <c r="A25" s="374"/>
      <c r="B25" s="11"/>
      <c r="C25" s="3" t="s">
        <v>129</v>
      </c>
      <c r="D25" s="4">
        <f>'FY2020 October Account'!F25</f>
        <v>1625.2600000000002</v>
      </c>
      <c r="E25" s="4">
        <f>SUMIFS(TraFY2020Nov[[ Amount]],TraFY2020Nov[[ Acct Desc]], "*Income*")</f>
        <v>407.76</v>
      </c>
      <c r="F25" s="15">
        <f>(D25+E25)</f>
        <v>2033.0200000000002</v>
      </c>
      <c r="G25" s="374"/>
    </row>
    <row r="26" spans="1:7" ht="15.75" x14ac:dyDescent="0.25">
      <c r="A26" s="374"/>
      <c r="B26" s="11"/>
      <c r="C26" s="3" t="s">
        <v>2019</v>
      </c>
      <c r="D26" s="4">
        <f>'FY2020 October Account'!F26</f>
        <v>0</v>
      </c>
      <c r="E26" s="4">
        <v>0</v>
      </c>
      <c r="F26" s="15">
        <f>(D26+E26)</f>
        <v>0</v>
      </c>
      <c r="G26" s="374"/>
    </row>
    <row r="27" spans="1:7" x14ac:dyDescent="0.25">
      <c r="A27" s="374"/>
      <c r="B27" s="16" t="s">
        <v>58</v>
      </c>
      <c r="C27" s="2"/>
      <c r="D27" s="5">
        <f>'FY2020 October Account'!F27</f>
        <v>115735.22</v>
      </c>
      <c r="E27" s="5">
        <f>SUM(E24:E26)</f>
        <v>407.76</v>
      </c>
      <c r="F27" s="17">
        <f>(D27+E27)</f>
        <v>116142.98</v>
      </c>
      <c r="G27" s="374"/>
    </row>
    <row r="28" spans="1:7" ht="15.75" x14ac:dyDescent="0.25">
      <c r="A28" s="374"/>
      <c r="B28" s="11"/>
      <c r="C28" s="1"/>
      <c r="D28" s="1"/>
      <c r="E28" s="1"/>
      <c r="F28" s="12"/>
      <c r="G28" s="374"/>
    </row>
    <row r="29" spans="1:7" x14ac:dyDescent="0.25">
      <c r="A29" s="374"/>
      <c r="B29" s="13" t="s">
        <v>59</v>
      </c>
      <c r="C29" s="2"/>
      <c r="D29" s="2"/>
      <c r="E29" s="2"/>
      <c r="F29" s="14"/>
      <c r="G29" s="374"/>
    </row>
    <row r="30" spans="1:7" ht="15.75" x14ac:dyDescent="0.25">
      <c r="A30" s="374"/>
      <c r="B30" s="11"/>
      <c r="C30" s="3" t="s">
        <v>60</v>
      </c>
      <c r="D30" s="4">
        <f>'FY2020 October Account'!F30</f>
        <v>0</v>
      </c>
      <c r="E30" s="4">
        <v>0</v>
      </c>
      <c r="F30" s="15">
        <f>(D30+E30)</f>
        <v>0</v>
      </c>
      <c r="G30" s="374"/>
    </row>
    <row r="31" spans="1:7" ht="15.75" x14ac:dyDescent="0.25">
      <c r="A31" s="374"/>
      <c r="B31" s="11"/>
      <c r="C31" s="3" t="s">
        <v>2018</v>
      </c>
      <c r="D31" s="4">
        <f>'FY2020 October Account'!F31</f>
        <v>421</v>
      </c>
      <c r="E31" s="4"/>
      <c r="F31" s="15">
        <f>(D31+E31)</f>
        <v>421</v>
      </c>
      <c r="G31" s="374"/>
    </row>
    <row r="32" spans="1:7" x14ac:dyDescent="0.25">
      <c r="A32" s="374"/>
      <c r="B32" s="16" t="s">
        <v>61</v>
      </c>
      <c r="C32" s="2"/>
      <c r="D32" s="5">
        <f>'FY2020 October Account'!F32</f>
        <v>421</v>
      </c>
      <c r="E32" s="5">
        <f>SUM(E30:E31)</f>
        <v>0</v>
      </c>
      <c r="F32" s="17">
        <f>(D32+E32)</f>
        <v>421</v>
      </c>
      <c r="G32" s="374"/>
    </row>
    <row r="33" spans="1:7" ht="15.75" x14ac:dyDescent="0.25">
      <c r="A33" s="374"/>
      <c r="B33" s="11"/>
      <c r="C33" s="1"/>
      <c r="D33" s="1"/>
      <c r="E33" s="1"/>
      <c r="F33" s="12"/>
      <c r="G33" s="374"/>
    </row>
    <row r="34" spans="1:7" x14ac:dyDescent="0.25">
      <c r="A34" s="374"/>
      <c r="B34" s="76" t="s">
        <v>62</v>
      </c>
      <c r="C34" s="77"/>
      <c r="D34" s="78">
        <f>'FY2020 October Account'!F34</f>
        <v>116156.22</v>
      </c>
      <c r="E34" s="78">
        <f>SUM(E27,E32)</f>
        <v>407.76</v>
      </c>
      <c r="F34" s="79">
        <f>(D34+E34)</f>
        <v>116563.98</v>
      </c>
      <c r="G34" s="374"/>
    </row>
    <row r="35" spans="1:7" ht="15.75" x14ac:dyDescent="0.25">
      <c r="A35" s="374"/>
      <c r="B35" s="11"/>
      <c r="C35" s="1"/>
      <c r="D35" s="1"/>
      <c r="E35" s="1"/>
      <c r="F35" s="12"/>
      <c r="G35" s="374"/>
    </row>
    <row r="36" spans="1:7" ht="15.75" x14ac:dyDescent="0.25">
      <c r="A36" s="374"/>
      <c r="B36" s="344" t="s">
        <v>169</v>
      </c>
      <c r="C36" s="345"/>
      <c r="D36" s="345"/>
      <c r="E36" s="345"/>
      <c r="F36" s="346"/>
      <c r="G36" s="374"/>
    </row>
    <row r="37" spans="1:7" ht="15.75" x14ac:dyDescent="0.25">
      <c r="A37" s="374"/>
      <c r="B37" s="11"/>
      <c r="C37" s="1"/>
      <c r="D37" s="1"/>
      <c r="E37" s="1"/>
      <c r="F37" s="12"/>
      <c r="G37" s="374"/>
    </row>
    <row r="38" spans="1:7" x14ac:dyDescent="0.25">
      <c r="A38" s="374"/>
      <c r="B38" s="66" t="s">
        <v>63</v>
      </c>
      <c r="C38" s="67"/>
      <c r="D38" s="67"/>
      <c r="E38" s="67"/>
      <c r="F38" s="68"/>
      <c r="G38" s="374"/>
    </row>
    <row r="39" spans="1:7" x14ac:dyDescent="0.25">
      <c r="A39" s="374"/>
      <c r="B39" s="18"/>
      <c r="C39" s="3"/>
      <c r="D39" s="3"/>
      <c r="E39" s="3"/>
      <c r="F39" s="19"/>
      <c r="G39" s="374"/>
    </row>
    <row r="40" spans="1:7" x14ac:dyDescent="0.25">
      <c r="A40" s="374"/>
      <c r="B40" s="13" t="s">
        <v>64</v>
      </c>
      <c r="C40" s="2"/>
      <c r="D40" s="2"/>
      <c r="E40" s="2"/>
      <c r="F40" s="14"/>
      <c r="G40" s="374"/>
    </row>
    <row r="41" spans="1:7" x14ac:dyDescent="0.25">
      <c r="A41" s="374"/>
      <c r="B41" s="20"/>
      <c r="C41" s="3" t="s">
        <v>65</v>
      </c>
      <c r="D41" s="4">
        <f>'FY2020 October Account'!F41</f>
        <v>4550</v>
      </c>
      <c r="E41" s="4">
        <f>SUMIFS(TraFY2020Nov[[ Amount]],TraFY2020Nov[[ Description]], "*ADAM SCHMIDT*", TraFY2020Nov[[ Acct Desc]], "Participant Stipends")</f>
        <v>650</v>
      </c>
      <c r="F41" s="15">
        <f>(D41-E41)</f>
        <v>3900</v>
      </c>
      <c r="G41" s="374"/>
    </row>
    <row r="42" spans="1:7" x14ac:dyDescent="0.25">
      <c r="A42" s="374"/>
      <c r="B42" s="20"/>
      <c r="C42" s="3" t="s">
        <v>66</v>
      </c>
      <c r="D42" s="4">
        <f>'FY2020 October Account'!F42</f>
        <v>2800</v>
      </c>
      <c r="E42" s="4">
        <f>SUMIFS(TraFY2020Nov[[ Amount]],TraFY2020Nov[[ Description]], "*RAEKWON L. DAVIS*", TraFY2020Nov[[ Acct Desc]], "Participant Stipends")</f>
        <v>400</v>
      </c>
      <c r="F42" s="15">
        <f t="shared" ref="F42:F49" si="0">(D42-E42)</f>
        <v>2400</v>
      </c>
      <c r="G42" s="374"/>
    </row>
    <row r="43" spans="1:7" x14ac:dyDescent="0.25">
      <c r="A43" s="374"/>
      <c r="B43" s="20"/>
      <c r="C43" s="3" t="s">
        <v>67</v>
      </c>
      <c r="D43" s="4">
        <f>'FY2020 October Account'!F43</f>
        <v>1575</v>
      </c>
      <c r="E43" s="4">
        <f>SUMIFS(TraFY2020Nov[[ Amount]],TraFY2020Nov[[ Description]], "*RYAN DUNN*", TraFY2020Nov[[ Acct Desc]], "Participant Stipends")</f>
        <v>225</v>
      </c>
      <c r="F43" s="15">
        <f t="shared" si="0"/>
        <v>1350</v>
      </c>
      <c r="G43" s="374"/>
    </row>
    <row r="44" spans="1:7" x14ac:dyDescent="0.25">
      <c r="A44" s="374"/>
      <c r="B44" s="20"/>
      <c r="C44" s="3" t="s">
        <v>68</v>
      </c>
      <c r="D44" s="4">
        <f>'FY2020 October Account'!F44</f>
        <v>1400</v>
      </c>
      <c r="E44" s="4">
        <f>SUMIFS(TraFY2020Nov[[ Amount]],TraFY2020Nov[[ Description]], "*NATHANIEL BLAKE JACOBS*", TraFY2020Nov[[ Acct Desc]], "Participant Stipends")</f>
        <v>200</v>
      </c>
      <c r="F44" s="15">
        <f t="shared" si="0"/>
        <v>1200</v>
      </c>
      <c r="G44" s="374"/>
    </row>
    <row r="45" spans="1:7" x14ac:dyDescent="0.25">
      <c r="A45" s="374"/>
      <c r="B45" s="20"/>
      <c r="C45" s="3" t="s">
        <v>69</v>
      </c>
      <c r="D45" s="4">
        <f>'FY2020 October Account'!F45</f>
        <v>1400</v>
      </c>
      <c r="E45" s="4">
        <f>SUMIFS(TraFY2020Nov[[ Amount]],TraFY2020Nov[[ Description]], "*ALYSSA FLOYD*", TraFY2020Nov[[ Acct Desc]], "Participant Stipends")</f>
        <v>200</v>
      </c>
      <c r="F45" s="15">
        <f t="shared" si="0"/>
        <v>1200</v>
      </c>
      <c r="G45" s="374"/>
    </row>
    <row r="46" spans="1:7" x14ac:dyDescent="0.25">
      <c r="A46" s="374"/>
      <c r="B46" s="20"/>
      <c r="C46" s="3" t="s">
        <v>70</v>
      </c>
      <c r="D46" s="4">
        <f>'FY2020 October Account'!F46</f>
        <v>1400</v>
      </c>
      <c r="E46" s="4">
        <f>SUMIFS(TraFY2020Nov[[ Amount]],TraFY2020Nov[[ Description]], "*OLIVIA TARPLEY*", TraFY2020Nov[[ Acct Desc]], "Participant Stipends")</f>
        <v>200</v>
      </c>
      <c r="F46" s="15">
        <f t="shared" si="0"/>
        <v>1200</v>
      </c>
      <c r="G46" s="374"/>
    </row>
    <row r="47" spans="1:7" x14ac:dyDescent="0.25">
      <c r="A47" s="374"/>
      <c r="B47" s="20"/>
      <c r="C47" s="3" t="s">
        <v>71</v>
      </c>
      <c r="D47" s="4">
        <f>'FY2020 October Account'!F47</f>
        <v>1400</v>
      </c>
      <c r="E47" s="4">
        <f>SUMIFS(TraFY2020Nov[[ Amount]],TraFY2020Nov[[ Description]], "*JACOB NEWTON*", TraFY2020Nov[[ Acct Desc]], "Participant Stipends")</f>
        <v>200</v>
      </c>
      <c r="F47" s="15">
        <f t="shared" si="0"/>
        <v>1200</v>
      </c>
      <c r="G47" s="374"/>
    </row>
    <row r="48" spans="1:7" x14ac:dyDescent="0.25">
      <c r="A48" s="374"/>
      <c r="B48" s="20"/>
      <c r="C48" s="3" t="s">
        <v>72</v>
      </c>
      <c r="D48" s="4">
        <f>'FY2020 October Account'!F48</f>
        <v>1400</v>
      </c>
      <c r="E48" s="4">
        <f>SUMIFS(TraFY2020Nov[[ Amount]],TraFY2020Nov[[ Description]], "*AVERY WALTER*", TraFY2020Nov[[ Acct Desc]], "Participant Stipends")</f>
        <v>200</v>
      </c>
      <c r="F48" s="15">
        <f t="shared" si="0"/>
        <v>1200</v>
      </c>
      <c r="G48" s="374"/>
    </row>
    <row r="49" spans="1:7" x14ac:dyDescent="0.25">
      <c r="A49" s="374"/>
      <c r="B49" s="20"/>
      <c r="C49" s="3" t="s">
        <v>73</v>
      </c>
      <c r="D49" s="4">
        <f>'FY2020 October Account'!F49</f>
        <v>1400</v>
      </c>
      <c r="E49" s="4">
        <f>SUMIFS(TraFY2020Nov[[ Amount]],TraFY2020Nov[[ Description]], "*SKYE GREGG*", TraFY2020Nov[[ Acct Desc]], "Participant Stipends")</f>
        <v>200</v>
      </c>
      <c r="F49" s="15">
        <f t="shared" si="0"/>
        <v>1200</v>
      </c>
      <c r="G49" s="374"/>
    </row>
    <row r="50" spans="1:7" x14ac:dyDescent="0.25">
      <c r="A50" s="374"/>
      <c r="B50" s="16" t="s">
        <v>74</v>
      </c>
      <c r="C50" s="2"/>
      <c r="D50" s="5">
        <f>'FY2020 October Account'!F50</f>
        <v>17325</v>
      </c>
      <c r="E50" s="6">
        <f>SUM(E41:E49)</f>
        <v>2475</v>
      </c>
      <c r="F50" s="21">
        <f>(D50-E50)</f>
        <v>14850</v>
      </c>
      <c r="G50" s="374"/>
    </row>
    <row r="51" spans="1:7" x14ac:dyDescent="0.25">
      <c r="A51" s="374"/>
      <c r="B51" s="20"/>
      <c r="C51" s="3"/>
      <c r="D51" s="3"/>
      <c r="E51" s="3"/>
      <c r="F51" s="19"/>
      <c r="G51" s="374"/>
    </row>
    <row r="52" spans="1:7" x14ac:dyDescent="0.25">
      <c r="A52" s="374"/>
      <c r="B52" s="13" t="s">
        <v>75</v>
      </c>
      <c r="C52" s="2"/>
      <c r="D52" s="2"/>
      <c r="E52" s="2"/>
      <c r="F52" s="14"/>
      <c r="G52" s="374"/>
    </row>
    <row r="53" spans="1:7" x14ac:dyDescent="0.25">
      <c r="A53" s="374"/>
      <c r="B53" s="20"/>
      <c r="C53" s="3" t="s">
        <v>76</v>
      </c>
      <c r="D53" s="4">
        <f>'FY2020 October Account'!F53</f>
        <v>35333.440000000002</v>
      </c>
      <c r="E53" s="4">
        <f>SUMIFS(TraFY2020Nov[[ Amount]],TraFY2020Nov[[ Acct Desc]], "EHRA*")</f>
        <v>4416.6400000000003</v>
      </c>
      <c r="F53" s="15">
        <f>(D53-E53)</f>
        <v>30916.800000000003</v>
      </c>
      <c r="G53" s="374"/>
    </row>
    <row r="54" spans="1:7" x14ac:dyDescent="0.25">
      <c r="A54" s="374"/>
      <c r="B54" s="20"/>
      <c r="C54" s="3" t="s">
        <v>77</v>
      </c>
      <c r="D54" s="4">
        <f>'FY2020 October Account'!F54</f>
        <v>5602.0999999999985</v>
      </c>
      <c r="E54" s="4">
        <f>SUMIFS(TraFY2020Nov[[ Amount]],TraFY2020Nov[[ Acct Desc]], "ORP-TIAA Ret*")</f>
        <v>302.10000000000002</v>
      </c>
      <c r="F54" s="15">
        <f t="shared" ref="F54:F57" si="1">(D54-E54)</f>
        <v>5299.9999999999982</v>
      </c>
      <c r="G54" s="374"/>
    </row>
    <row r="55" spans="1:7" x14ac:dyDescent="0.25">
      <c r="A55" s="374"/>
      <c r="B55" s="20"/>
      <c r="C55" s="3" t="s">
        <v>78</v>
      </c>
      <c r="D55" s="4">
        <f>'FY2020 October Account'!F55</f>
        <v>3010.3499999999995</v>
      </c>
      <c r="E55" s="4">
        <f>SUMIFS(TraFY2020Nov[[ Amount]],TraFY2020Nov[[ Acct Desc]], "ORP-TIAA Hea*") + SUMIFS(TraFY2020Nov[[ Amount]],TraFY2020Nov[[ Acct Desc]], "Medical*")</f>
        <v>638.45000000000005</v>
      </c>
      <c r="F55" s="15">
        <f t="shared" si="1"/>
        <v>2371.8999999999996</v>
      </c>
      <c r="G55" s="374"/>
    </row>
    <row r="56" spans="1:7" x14ac:dyDescent="0.25">
      <c r="A56" s="374"/>
      <c r="B56" s="20"/>
      <c r="C56" s="3" t="s">
        <v>79</v>
      </c>
      <c r="D56" s="4">
        <f>'FY2020 October Account'!F56</f>
        <v>2208.6000000000004</v>
      </c>
      <c r="E56" s="4">
        <f>SUMIFS(TraFY2020Nov[[ Amount]],TraFY2020Nov[[ Acct Desc]], "Social Security-OASDI")</f>
        <v>269.35000000000002</v>
      </c>
      <c r="F56" s="15">
        <f t="shared" si="1"/>
        <v>1939.2500000000005</v>
      </c>
      <c r="G56" s="374"/>
    </row>
    <row r="57" spans="1:7" x14ac:dyDescent="0.25">
      <c r="A57" s="374"/>
      <c r="B57" s="20"/>
      <c r="C57" s="3" t="s">
        <v>80</v>
      </c>
      <c r="D57" s="4">
        <f>'FY2020 October Account'!F57</f>
        <v>516.52</v>
      </c>
      <c r="E57" s="4">
        <f>SUMIFS(TraFY2020Nov[[ Amount]],TraFY2020Nov[[ Acct Desc]], "*Hospital Ins*")</f>
        <v>63</v>
      </c>
      <c r="F57" s="15">
        <f t="shared" si="1"/>
        <v>453.52</v>
      </c>
      <c r="G57" s="374"/>
    </row>
    <row r="58" spans="1:7" x14ac:dyDescent="0.25">
      <c r="A58" s="374"/>
      <c r="B58" s="16" t="s">
        <v>81</v>
      </c>
      <c r="C58" s="2"/>
      <c r="D58" s="5">
        <f>'FY2020 October Account'!F58</f>
        <v>46671.009999999995</v>
      </c>
      <c r="E58" s="6">
        <f>SUM(E53:E57)</f>
        <v>5689.5400000000009</v>
      </c>
      <c r="F58" s="21">
        <f>(D58-E58)</f>
        <v>40981.469999999994</v>
      </c>
      <c r="G58" s="374"/>
    </row>
    <row r="59" spans="1:7" x14ac:dyDescent="0.25">
      <c r="A59" s="374"/>
      <c r="B59" s="20"/>
      <c r="C59" s="3"/>
      <c r="D59" s="3"/>
      <c r="E59" s="3"/>
      <c r="F59" s="19"/>
      <c r="G59" s="374"/>
    </row>
    <row r="60" spans="1:7" x14ac:dyDescent="0.25">
      <c r="A60" s="374"/>
      <c r="B60" s="13" t="s">
        <v>82</v>
      </c>
      <c r="C60" s="2"/>
      <c r="D60" s="2"/>
      <c r="E60" s="2"/>
      <c r="F60" s="14"/>
      <c r="G60" s="374"/>
    </row>
    <row r="61" spans="1:7" x14ac:dyDescent="0.25">
      <c r="A61" s="374"/>
      <c r="B61" s="20"/>
      <c r="C61" s="3" t="s">
        <v>83</v>
      </c>
      <c r="D61" s="4">
        <f>'FY2020 October Account'!F61</f>
        <v>14875</v>
      </c>
      <c r="E61" s="4">
        <f>SUMIFS(TraFY2020Nov[[ Amount]],TraFY2020Nov[[ Trans ID]], "*STIP_ASG*",TraFY2020Nov[[ Amount]], "125" )</f>
        <v>2125</v>
      </c>
      <c r="F61" s="15">
        <f t="shared" ref="F61" si="2">(D61-E61)</f>
        <v>12750</v>
      </c>
      <c r="G61" s="374"/>
    </row>
    <row r="62" spans="1:7" x14ac:dyDescent="0.25">
      <c r="A62" s="374"/>
      <c r="B62" s="16" t="s">
        <v>84</v>
      </c>
      <c r="C62" s="2"/>
      <c r="D62" s="5">
        <f>'FY2020 October Account'!F62</f>
        <v>14875</v>
      </c>
      <c r="E62" s="6">
        <f>SUM(E61:E61)</f>
        <v>2125</v>
      </c>
      <c r="F62" s="21">
        <f>(D62-E62)</f>
        <v>12750</v>
      </c>
      <c r="G62" s="374"/>
    </row>
    <row r="63" spans="1:7" x14ac:dyDescent="0.25">
      <c r="A63" s="374"/>
      <c r="B63" s="20"/>
      <c r="C63" s="3"/>
      <c r="D63" s="3"/>
      <c r="E63" s="3"/>
      <c r="F63" s="19"/>
      <c r="G63" s="374"/>
    </row>
    <row r="64" spans="1:7" x14ac:dyDescent="0.25">
      <c r="A64" s="374"/>
      <c r="B64" s="69" t="s">
        <v>85</v>
      </c>
      <c r="C64" s="70"/>
      <c r="D64" s="71">
        <f>'FY2020 October Account'!F64</f>
        <v>78871.010000000009</v>
      </c>
      <c r="E64" s="71">
        <f>SUM(E50, E58, E62)</f>
        <v>10289.540000000001</v>
      </c>
      <c r="F64" s="72">
        <f>(D64-E64)</f>
        <v>68581.47</v>
      </c>
      <c r="G64" s="374"/>
    </row>
    <row r="65" spans="1:7" x14ac:dyDescent="0.25">
      <c r="A65" s="374"/>
      <c r="B65" s="20"/>
      <c r="C65" s="3"/>
      <c r="D65" s="3"/>
      <c r="E65" s="3"/>
      <c r="F65" s="19"/>
      <c r="G65" s="374"/>
    </row>
    <row r="66" spans="1:7" x14ac:dyDescent="0.25">
      <c r="A66" s="374"/>
      <c r="B66" s="58" t="s">
        <v>130</v>
      </c>
      <c r="C66" s="59"/>
      <c r="D66" s="59"/>
      <c r="E66" s="59"/>
      <c r="F66" s="60"/>
      <c r="G66" s="374"/>
    </row>
    <row r="67" spans="1:7" x14ac:dyDescent="0.25">
      <c r="A67" s="374"/>
      <c r="B67" s="18"/>
      <c r="C67" s="3"/>
      <c r="D67" s="3"/>
      <c r="E67" s="3"/>
      <c r="F67" s="19"/>
      <c r="G67" s="374"/>
    </row>
    <row r="68" spans="1:7" x14ac:dyDescent="0.25">
      <c r="A68" s="374"/>
      <c r="B68" s="13" t="s">
        <v>86</v>
      </c>
      <c r="C68" s="2"/>
      <c r="D68" s="2"/>
      <c r="E68" s="2"/>
      <c r="F68" s="14"/>
      <c r="G68" s="374"/>
    </row>
    <row r="69" spans="1:7" x14ac:dyDescent="0.25">
      <c r="A69" s="374"/>
      <c r="B69" s="20"/>
      <c r="C69" s="3" t="s">
        <v>87</v>
      </c>
      <c r="D69" s="4">
        <f>'FY2020 October Account'!F69</f>
        <v>174</v>
      </c>
      <c r="E69" s="4">
        <f>SUMIFS(TraFY2020Nov[[ Amount]],TraFY2020Nov[[ Acct Desc]], "Teleph*")</f>
        <v>0</v>
      </c>
      <c r="F69" s="15">
        <f t="shared" ref="F69:F70" si="3">(D69-E69)</f>
        <v>174</v>
      </c>
      <c r="G69" s="374"/>
    </row>
    <row r="70" spans="1:7" x14ac:dyDescent="0.25">
      <c r="A70" s="374"/>
      <c r="B70" s="20"/>
      <c r="C70" s="3" t="s">
        <v>88</v>
      </c>
      <c r="D70" s="4">
        <f>'FY2020 October Account'!F70</f>
        <v>902.76</v>
      </c>
      <c r="E70" s="4">
        <f>SUMIFS(TraFY2020Nov[[ Amount]],TraFY2020Nov[[ Acct Desc]], "*Supplies*") + SUMIFS(TraFY2020Nov[[ Amount]],TraFY2020Nov[[ Acct Desc]], "*Pcard*") - E75</f>
        <v>0</v>
      </c>
      <c r="F70" s="15">
        <f t="shared" si="3"/>
        <v>902.76</v>
      </c>
      <c r="G70" s="374"/>
    </row>
    <row r="71" spans="1:7" x14ac:dyDescent="0.25">
      <c r="A71" s="374"/>
      <c r="B71" s="16" t="s">
        <v>89</v>
      </c>
      <c r="C71" s="2"/>
      <c r="D71" s="5">
        <f>'FY2020 October Account'!F71</f>
        <v>1076.7600000000002</v>
      </c>
      <c r="E71" s="6">
        <f>SUM(E69:E70)</f>
        <v>0</v>
      </c>
      <c r="F71" s="21">
        <f>(D71-E71)</f>
        <v>1076.7600000000002</v>
      </c>
      <c r="G71" s="374"/>
    </row>
    <row r="72" spans="1:7" x14ac:dyDescent="0.25">
      <c r="A72" s="374"/>
      <c r="B72" s="20"/>
      <c r="C72" s="3"/>
      <c r="D72" s="3"/>
      <c r="E72" s="3"/>
      <c r="F72" s="19"/>
      <c r="G72" s="374"/>
    </row>
    <row r="73" spans="1:7" x14ac:dyDescent="0.25">
      <c r="A73" s="374"/>
      <c r="B73" s="13" t="s">
        <v>90</v>
      </c>
      <c r="C73" s="2"/>
      <c r="D73" s="2"/>
      <c r="E73" s="2"/>
      <c r="F73" s="14"/>
      <c r="G73" s="374"/>
    </row>
    <row r="74" spans="1:7" x14ac:dyDescent="0.25">
      <c r="A74" s="374"/>
      <c r="B74" s="20"/>
      <c r="C74" s="3" t="s">
        <v>91</v>
      </c>
      <c r="D74" s="4">
        <f>'FY2020 October Account'!F74</f>
        <v>132</v>
      </c>
      <c r="E74" s="4">
        <f>SUMIFS(TraFY2020Nov[[ Amount]],TraFY2020Nov[[ Acct Desc]], "Internet Service") + SUMIFS(TraFY2020Nov[[ Amount]],TraFY2020Nov[[ Acct Desc]], "Software Subscriptions")</f>
        <v>0</v>
      </c>
      <c r="F74" s="15">
        <f t="shared" ref="F74:F76" si="4">(D74-E74)</f>
        <v>132</v>
      </c>
      <c r="G74" s="374"/>
    </row>
    <row r="75" spans="1:7" x14ac:dyDescent="0.25">
      <c r="A75" s="374"/>
      <c r="B75" s="20"/>
      <c r="C75" s="3" t="s">
        <v>92</v>
      </c>
      <c r="D75" s="4">
        <f>'FY2020 October Account'!F75</f>
        <v>1000</v>
      </c>
      <c r="E75" s="4">
        <f>SUMIFS(TraFY2020Nov[[ Amount]],TraFY2020Nov[[ Acct Desc]], "*Non Educ Misc")</f>
        <v>452.02</v>
      </c>
      <c r="F75" s="15">
        <f t="shared" si="4"/>
        <v>547.98</v>
      </c>
      <c r="G75" s="374"/>
    </row>
    <row r="76" spans="1:7" x14ac:dyDescent="0.25">
      <c r="A76" s="374"/>
      <c r="B76" s="20"/>
      <c r="C76" s="3" t="s">
        <v>93</v>
      </c>
      <c r="D76" s="4">
        <f>'FY2020 October Account'!F76</f>
        <v>500</v>
      </c>
      <c r="E76" s="4">
        <v>0</v>
      </c>
      <c r="F76" s="15">
        <f t="shared" si="4"/>
        <v>500</v>
      </c>
      <c r="G76" s="374"/>
    </row>
    <row r="77" spans="1:7" x14ac:dyDescent="0.25">
      <c r="A77" s="374"/>
      <c r="B77" s="16" t="s">
        <v>94</v>
      </c>
      <c r="C77" s="2"/>
      <c r="D77" s="5">
        <f>'FY2020 October Account'!F77</f>
        <v>1632</v>
      </c>
      <c r="E77" s="6">
        <f>SUM(E74:E76)</f>
        <v>452.02</v>
      </c>
      <c r="F77" s="21">
        <f>(D77-E77)</f>
        <v>1179.98</v>
      </c>
      <c r="G77" s="374"/>
    </row>
    <row r="78" spans="1:7" x14ac:dyDescent="0.25">
      <c r="A78" s="374"/>
      <c r="B78" s="20"/>
      <c r="C78" s="3"/>
      <c r="D78" s="3"/>
      <c r="E78" s="3"/>
      <c r="F78" s="19"/>
      <c r="G78" s="374"/>
    </row>
    <row r="79" spans="1:7" x14ac:dyDescent="0.25">
      <c r="A79" s="374"/>
      <c r="B79" s="61" t="s">
        <v>95</v>
      </c>
      <c r="C79" s="62"/>
      <c r="D79" s="63">
        <f>'FY2020 October Account'!F79</f>
        <v>2708.76</v>
      </c>
      <c r="E79" s="64">
        <f>SUM(E71, E77)</f>
        <v>452.02</v>
      </c>
      <c r="F79" s="65">
        <f>(D79-E79)</f>
        <v>2256.7400000000002</v>
      </c>
      <c r="G79" s="374"/>
    </row>
    <row r="80" spans="1:7" x14ac:dyDescent="0.25">
      <c r="A80" s="374"/>
      <c r="B80" s="20"/>
      <c r="C80" s="3"/>
      <c r="D80" s="3"/>
      <c r="E80" s="3"/>
      <c r="F80" s="19"/>
      <c r="G80" s="374"/>
    </row>
    <row r="81" spans="1:7" x14ac:dyDescent="0.25">
      <c r="A81" s="374"/>
      <c r="B81" s="51" t="s">
        <v>96</v>
      </c>
      <c r="C81" s="52"/>
      <c r="D81" s="52"/>
      <c r="E81" s="52"/>
      <c r="F81" s="53"/>
      <c r="G81" s="374"/>
    </row>
    <row r="82" spans="1:7" x14ac:dyDescent="0.25">
      <c r="A82" s="374"/>
      <c r="B82" s="18"/>
      <c r="C82" s="3"/>
      <c r="D82" s="3"/>
      <c r="E82" s="3"/>
      <c r="F82" s="19"/>
      <c r="G82" s="374"/>
    </row>
    <row r="83" spans="1:7" x14ac:dyDescent="0.25">
      <c r="A83" s="374"/>
      <c r="B83" s="13" t="s">
        <v>97</v>
      </c>
      <c r="C83" s="2"/>
      <c r="D83" s="2"/>
      <c r="E83" s="2"/>
      <c r="F83" s="14"/>
      <c r="G83" s="374"/>
    </row>
    <row r="84" spans="1:7" x14ac:dyDescent="0.25">
      <c r="A84" s="374"/>
      <c r="B84" s="20"/>
      <c r="C84" s="3" t="s">
        <v>98</v>
      </c>
      <c r="D84" s="4">
        <f>'FY2020 October Account'!F84</f>
        <v>27920.359999999997</v>
      </c>
      <c r="E84" s="4">
        <f>SUMIFS(TraFY2020Nov[[ Amount]],TraFY2020Nov[[ Acct Desc]], "*Lodging")</f>
        <v>7363.3</v>
      </c>
      <c r="F84" s="15">
        <f>(D84-E84)</f>
        <v>20557.059999999998</v>
      </c>
      <c r="G84" s="374"/>
    </row>
    <row r="85" spans="1:7" x14ac:dyDescent="0.25">
      <c r="A85" s="374"/>
      <c r="B85" s="20"/>
      <c r="C85" s="3" t="s">
        <v>99</v>
      </c>
      <c r="D85" s="4">
        <f>'FY2020 October Account'!F85</f>
        <v>14264.619999999999</v>
      </c>
      <c r="E85" s="4">
        <f>SUMIFS(TraFY2020Nov[[ Amount]],TraFY2020Nov[[ Acct Desc]], "*Ground") + SUMIFS(TraFY2020Nov[[ Amount]],TraFY2020Nov[[ Acct Desc]], "*Other")</f>
        <v>2712.6999999999994</v>
      </c>
      <c r="F85" s="15">
        <f>(D85-E85)</f>
        <v>11551.92</v>
      </c>
      <c r="G85" s="374"/>
    </row>
    <row r="86" spans="1:7" x14ac:dyDescent="0.25">
      <c r="A86" s="374"/>
      <c r="B86" s="20"/>
      <c r="C86" s="3" t="s">
        <v>100</v>
      </c>
      <c r="D86" s="4">
        <f>'FY2020 October Account'!F86</f>
        <v>6573.74</v>
      </c>
      <c r="E86" s="4">
        <f>SUMIFS(TraFY2020Nov[[ Amount]],TraFY2020Nov[[ Acct Desc]], "*Meetings*") +SUMIFS(TraFY2020Nov[[ Amount]], TraFY2020Nov[[ Acct Desc]], "*Meal*")</f>
        <v>224.26</v>
      </c>
      <c r="F86" s="15">
        <f t="shared" ref="F86" si="5">(D86-E86)</f>
        <v>6349.48</v>
      </c>
      <c r="G86" s="374"/>
    </row>
    <row r="87" spans="1:7" x14ac:dyDescent="0.25">
      <c r="A87" s="374"/>
      <c r="B87" s="16" t="s">
        <v>101</v>
      </c>
      <c r="C87" s="2"/>
      <c r="D87" s="5">
        <f>'FY2020 October Account'!F87</f>
        <v>48758.720000000001</v>
      </c>
      <c r="E87" s="6">
        <f>SUM(E84:E86)</f>
        <v>10300.26</v>
      </c>
      <c r="F87" s="21">
        <f>(D87-E87)</f>
        <v>38458.46</v>
      </c>
      <c r="G87" s="374"/>
    </row>
    <row r="88" spans="1:7" x14ac:dyDescent="0.25">
      <c r="A88" s="374"/>
      <c r="B88" s="20"/>
      <c r="C88" s="3"/>
      <c r="D88" s="3"/>
      <c r="E88" s="3"/>
      <c r="F88" s="19"/>
      <c r="G88" s="374"/>
    </row>
    <row r="89" spans="1:7" x14ac:dyDescent="0.25">
      <c r="A89" s="374"/>
      <c r="B89" s="13" t="s">
        <v>102</v>
      </c>
      <c r="C89" s="2"/>
      <c r="D89" s="2"/>
      <c r="E89" s="2"/>
      <c r="F89" s="14"/>
      <c r="G89" s="374"/>
    </row>
    <row r="90" spans="1:7" x14ac:dyDescent="0.25">
      <c r="A90" s="374"/>
      <c r="B90" s="20"/>
      <c r="C90" s="3" t="s">
        <v>103</v>
      </c>
      <c r="D90" s="4">
        <f>'FY2020 October Account'!F90</f>
        <v>3190.82</v>
      </c>
      <c r="E90" s="4">
        <v>0</v>
      </c>
      <c r="F90" s="15">
        <f t="shared" ref="F90:F92" si="6">(D90-E90)</f>
        <v>3190.82</v>
      </c>
      <c r="G90" s="374"/>
    </row>
    <row r="91" spans="1:7" x14ac:dyDescent="0.25">
      <c r="A91" s="374"/>
      <c r="B91" s="20"/>
      <c r="C91" s="3" t="s">
        <v>104</v>
      </c>
      <c r="D91" s="4">
        <f>'FY2020 October Account'!F91</f>
        <v>1000</v>
      </c>
      <c r="E91" s="4">
        <v>0</v>
      </c>
      <c r="F91" s="15">
        <f t="shared" si="6"/>
        <v>1000</v>
      </c>
      <c r="G91" s="374"/>
    </row>
    <row r="92" spans="1:7" x14ac:dyDescent="0.25">
      <c r="A92" s="374"/>
      <c r="B92" s="20"/>
      <c r="C92" s="3" t="s">
        <v>1993</v>
      </c>
      <c r="D92" s="4">
        <f>'FY2020 October Account'!F92</f>
        <v>3000</v>
      </c>
      <c r="E92" s="4">
        <v>0</v>
      </c>
      <c r="F92" s="15">
        <f t="shared" si="6"/>
        <v>3000</v>
      </c>
      <c r="G92" s="374"/>
    </row>
    <row r="93" spans="1:7" x14ac:dyDescent="0.25">
      <c r="A93" s="374"/>
      <c r="B93" s="16" t="s">
        <v>105</v>
      </c>
      <c r="C93" s="2"/>
      <c r="D93" s="5">
        <f>'FY2020 October Account'!F93</f>
        <v>7190.82</v>
      </c>
      <c r="E93" s="6">
        <f>SUM(E90:E92)</f>
        <v>0</v>
      </c>
      <c r="F93" s="21">
        <f>(D93-E93)</f>
        <v>7190.82</v>
      </c>
      <c r="G93" s="374"/>
    </row>
    <row r="94" spans="1:7" x14ac:dyDescent="0.25">
      <c r="A94" s="374"/>
      <c r="B94" s="20"/>
      <c r="C94" s="3"/>
      <c r="D94" s="3"/>
      <c r="E94" s="3"/>
      <c r="F94" s="19"/>
      <c r="G94" s="374"/>
    </row>
    <row r="95" spans="1:7" x14ac:dyDescent="0.25">
      <c r="A95" s="374"/>
      <c r="B95" s="54" t="s">
        <v>106</v>
      </c>
      <c r="C95" s="55"/>
      <c r="D95" s="56">
        <f>'FY2020 October Account'!F95</f>
        <v>55949.540000000008</v>
      </c>
      <c r="E95" s="56">
        <f>SUM(E87, E93)</f>
        <v>10300.26</v>
      </c>
      <c r="F95" s="57">
        <f>(D95-E95)</f>
        <v>45649.280000000006</v>
      </c>
      <c r="G95" s="374"/>
    </row>
    <row r="96" spans="1:7" x14ac:dyDescent="0.25">
      <c r="A96" s="374"/>
      <c r="B96" s="20"/>
      <c r="C96" s="3"/>
      <c r="D96" s="3"/>
      <c r="E96" s="3"/>
      <c r="F96" s="19"/>
      <c r="G96" s="374"/>
    </row>
    <row r="97" spans="1:7" x14ac:dyDescent="0.25">
      <c r="A97" s="374"/>
      <c r="B97" s="44" t="s">
        <v>107</v>
      </c>
      <c r="C97" s="45"/>
      <c r="D97" s="45"/>
      <c r="E97" s="45"/>
      <c r="F97" s="46"/>
      <c r="G97" s="374"/>
    </row>
    <row r="98" spans="1:7" x14ac:dyDescent="0.25">
      <c r="A98" s="374"/>
      <c r="B98" s="18"/>
      <c r="C98" s="3"/>
      <c r="D98" s="3"/>
      <c r="E98" s="3"/>
      <c r="F98" s="19"/>
      <c r="G98" s="374"/>
    </row>
    <row r="99" spans="1:7" x14ac:dyDescent="0.25">
      <c r="A99" s="374"/>
      <c r="B99" s="13" t="s">
        <v>108</v>
      </c>
      <c r="C99" s="2"/>
      <c r="D99" s="2"/>
      <c r="E99" s="2"/>
      <c r="F99" s="14"/>
      <c r="G99" s="374"/>
    </row>
    <row r="100" spans="1:7" x14ac:dyDescent="0.25">
      <c r="A100" s="374"/>
      <c r="B100" s="20"/>
      <c r="C100" s="3" t="s">
        <v>109</v>
      </c>
      <c r="D100" s="4">
        <f>'FY2020 October Account'!F100</f>
        <v>3250</v>
      </c>
      <c r="E100" s="4">
        <v>0</v>
      </c>
      <c r="F100" s="15">
        <f t="shared" ref="F100" si="7">(D100-E100)</f>
        <v>3250</v>
      </c>
      <c r="G100" s="374"/>
    </row>
    <row r="101" spans="1:7" x14ac:dyDescent="0.25">
      <c r="A101" s="374"/>
      <c r="B101" s="16" t="s">
        <v>110</v>
      </c>
      <c r="C101" s="2"/>
      <c r="D101" s="5">
        <f>'FY2020 October Account'!F101</f>
        <v>3250</v>
      </c>
      <c r="E101" s="6">
        <f>SUM(E100:E100)</f>
        <v>0</v>
      </c>
      <c r="F101" s="21">
        <f>(D101-E101)</f>
        <v>3250</v>
      </c>
      <c r="G101" s="374"/>
    </row>
    <row r="102" spans="1:7" x14ac:dyDescent="0.25">
      <c r="A102" s="374"/>
      <c r="B102" s="20"/>
      <c r="C102" s="3"/>
      <c r="D102" s="3"/>
      <c r="E102" s="3"/>
      <c r="F102" s="19"/>
      <c r="G102" s="374"/>
    </row>
    <row r="103" spans="1:7" x14ac:dyDescent="0.25">
      <c r="A103" s="374"/>
      <c r="B103" s="13" t="s">
        <v>111</v>
      </c>
      <c r="C103" s="2"/>
      <c r="D103" s="2"/>
      <c r="E103" s="2"/>
      <c r="F103" s="14"/>
      <c r="G103" s="374"/>
    </row>
    <row r="104" spans="1:7" x14ac:dyDescent="0.25">
      <c r="A104" s="374"/>
      <c r="B104" s="20"/>
      <c r="C104" s="3" t="s">
        <v>112</v>
      </c>
      <c r="D104" s="4">
        <f>'FY2020 October Account'!F104</f>
        <v>17000</v>
      </c>
      <c r="E104" s="4">
        <f>SUM('FY2020 November Transactions'!E6)</f>
        <v>250</v>
      </c>
      <c r="F104" s="15">
        <f t="shared" ref="F104:F105" si="8">(D104-E104)</f>
        <v>16750</v>
      </c>
      <c r="G104" s="374"/>
    </row>
    <row r="105" spans="1:7" x14ac:dyDescent="0.25">
      <c r="A105" s="374"/>
      <c r="B105" s="20"/>
      <c r="C105" s="3" t="s">
        <v>1992</v>
      </c>
      <c r="D105" s="4">
        <f>'FY2020 October Account'!F105</f>
        <v>20000</v>
      </c>
      <c r="E105" s="4">
        <v>0</v>
      </c>
      <c r="F105" s="15">
        <f t="shared" si="8"/>
        <v>20000</v>
      </c>
      <c r="G105" s="374"/>
    </row>
    <row r="106" spans="1:7" x14ac:dyDescent="0.25">
      <c r="A106" s="374"/>
      <c r="B106" s="16" t="s">
        <v>113</v>
      </c>
      <c r="C106" s="2"/>
      <c r="D106" s="5">
        <f>'FY2020 October Account'!F106</f>
        <v>37000</v>
      </c>
      <c r="E106" s="6">
        <f>SUM(E104:E105)</f>
        <v>250</v>
      </c>
      <c r="F106" s="21">
        <f>(D106-E106)</f>
        <v>36750</v>
      </c>
      <c r="G106" s="374"/>
    </row>
    <row r="107" spans="1:7" x14ac:dyDescent="0.25">
      <c r="A107" s="374"/>
      <c r="B107" s="22"/>
      <c r="C107" s="3"/>
      <c r="D107" s="3"/>
      <c r="E107" s="3"/>
      <c r="F107" s="19"/>
      <c r="G107" s="374"/>
    </row>
    <row r="108" spans="1:7" x14ac:dyDescent="0.25">
      <c r="A108" s="374"/>
      <c r="B108" s="13" t="s">
        <v>114</v>
      </c>
      <c r="C108" s="2"/>
      <c r="D108" s="2"/>
      <c r="E108" s="2"/>
      <c r="F108" s="14"/>
      <c r="G108" s="374"/>
    </row>
    <row r="109" spans="1:7" x14ac:dyDescent="0.25">
      <c r="A109" s="374"/>
      <c r="B109" s="20"/>
      <c r="C109" s="3" t="s">
        <v>115</v>
      </c>
      <c r="D109" s="4">
        <f>'FY2020 October Account'!F109</f>
        <v>2000</v>
      </c>
      <c r="E109" s="4">
        <v>0</v>
      </c>
      <c r="F109" s="15">
        <f t="shared" ref="F109" si="9">(D109-E109)</f>
        <v>2000</v>
      </c>
      <c r="G109" s="374"/>
    </row>
    <row r="110" spans="1:7" x14ac:dyDescent="0.25">
      <c r="A110" s="374"/>
      <c r="B110" s="16" t="s">
        <v>116</v>
      </c>
      <c r="C110" s="2"/>
      <c r="D110" s="5">
        <f>'FY2020 October Account'!F110</f>
        <v>2000</v>
      </c>
      <c r="E110" s="6">
        <f>SUM(E109:E109)</f>
        <v>0</v>
      </c>
      <c r="F110" s="21">
        <f>(D110-E110)</f>
        <v>2000</v>
      </c>
      <c r="G110" s="374"/>
    </row>
    <row r="111" spans="1:7" x14ac:dyDescent="0.25">
      <c r="A111" s="374"/>
      <c r="B111" s="20"/>
      <c r="C111" s="3"/>
      <c r="D111" s="3"/>
      <c r="E111" s="3"/>
      <c r="F111" s="19"/>
      <c r="G111" s="374"/>
    </row>
    <row r="112" spans="1:7" x14ac:dyDescent="0.25">
      <c r="A112" s="374"/>
      <c r="B112" s="13" t="s">
        <v>117</v>
      </c>
      <c r="C112" s="2"/>
      <c r="D112" s="2"/>
      <c r="E112" s="2"/>
      <c r="F112" s="14"/>
      <c r="G112" s="374"/>
    </row>
    <row r="113" spans="1:7" x14ac:dyDescent="0.25">
      <c r="A113" s="374"/>
      <c r="B113" s="20"/>
      <c r="C113" s="3" t="s">
        <v>118</v>
      </c>
      <c r="D113" s="4">
        <f>'FY2020 October Account'!F113</f>
        <v>4500</v>
      </c>
      <c r="E113" s="4">
        <v>0</v>
      </c>
      <c r="F113" s="15">
        <f t="shared" ref="F113:F115" si="10">(D113-E113)</f>
        <v>4500</v>
      </c>
      <c r="G113" s="374"/>
    </row>
    <row r="114" spans="1:7" x14ac:dyDescent="0.25">
      <c r="A114" s="374"/>
      <c r="B114" s="20"/>
      <c r="C114" s="3" t="s">
        <v>119</v>
      </c>
      <c r="D114" s="4">
        <f>'FY2020 October Account'!F114</f>
        <v>3000</v>
      </c>
      <c r="E114" s="4">
        <v>0</v>
      </c>
      <c r="F114" s="15">
        <f t="shared" si="10"/>
        <v>3000</v>
      </c>
      <c r="G114" s="374"/>
    </row>
    <row r="115" spans="1:7" x14ac:dyDescent="0.25">
      <c r="A115" s="374"/>
      <c r="B115" s="20"/>
      <c r="C115" s="3" t="s">
        <v>120</v>
      </c>
      <c r="D115" s="4">
        <f>'FY2020 October Account'!F115</f>
        <v>4500</v>
      </c>
      <c r="E115" s="4">
        <v>0</v>
      </c>
      <c r="F115" s="15">
        <f t="shared" si="10"/>
        <v>4500</v>
      </c>
      <c r="G115" s="374"/>
    </row>
    <row r="116" spans="1:7" x14ac:dyDescent="0.25">
      <c r="A116" s="374"/>
      <c r="B116" s="16" t="s">
        <v>121</v>
      </c>
      <c r="C116" s="2"/>
      <c r="D116" s="5">
        <f>'FY2020 October Account'!F116</f>
        <v>12000</v>
      </c>
      <c r="E116" s="6">
        <f>SUM(E113:E115)</f>
        <v>0</v>
      </c>
      <c r="F116" s="21">
        <f>(D116-E116)</f>
        <v>12000</v>
      </c>
      <c r="G116" s="374"/>
    </row>
    <row r="117" spans="1:7" x14ac:dyDescent="0.25">
      <c r="A117" s="374"/>
      <c r="B117" s="20"/>
      <c r="C117" s="3"/>
      <c r="D117" s="3"/>
      <c r="E117" s="3"/>
      <c r="F117" s="19"/>
      <c r="G117" s="374"/>
    </row>
    <row r="118" spans="1:7" x14ac:dyDescent="0.25">
      <c r="A118" s="374"/>
      <c r="B118" s="47" t="s">
        <v>167</v>
      </c>
      <c r="C118" s="48"/>
      <c r="D118" s="49">
        <f>'FY2020 October Account'!F118</f>
        <v>54250</v>
      </c>
      <c r="E118" s="49">
        <f>SUM(E101, E106, E110, E116)</f>
        <v>250</v>
      </c>
      <c r="F118" s="50">
        <f>(D118-E118)</f>
        <v>54000</v>
      </c>
      <c r="G118" s="374"/>
    </row>
    <row r="119" spans="1:7" x14ac:dyDescent="0.25">
      <c r="A119" s="374"/>
      <c r="B119" s="20"/>
      <c r="C119" s="3"/>
      <c r="D119" s="3"/>
      <c r="E119" s="3"/>
      <c r="F119" s="19"/>
      <c r="G119" s="374"/>
    </row>
    <row r="120" spans="1:7" x14ac:dyDescent="0.25">
      <c r="A120" s="374"/>
      <c r="B120" s="38" t="s">
        <v>131</v>
      </c>
      <c r="C120" s="39"/>
      <c r="D120" s="39"/>
      <c r="E120" s="39"/>
      <c r="F120" s="40"/>
      <c r="G120" s="374"/>
    </row>
    <row r="121" spans="1:7" x14ac:dyDescent="0.25">
      <c r="A121" s="374"/>
      <c r="B121" s="18"/>
      <c r="C121" s="3"/>
      <c r="D121" s="3"/>
      <c r="E121" s="3"/>
      <c r="F121" s="19"/>
      <c r="G121" s="374"/>
    </row>
    <row r="122" spans="1:7" x14ac:dyDescent="0.25">
      <c r="A122" s="374"/>
      <c r="B122" s="13" t="s">
        <v>122</v>
      </c>
      <c r="C122" s="2"/>
      <c r="D122" s="2"/>
      <c r="E122" s="2"/>
      <c r="F122" s="14"/>
      <c r="G122" s="374"/>
    </row>
    <row r="123" spans="1:7" x14ac:dyDescent="0.25">
      <c r="A123" s="374"/>
      <c r="B123" s="20"/>
      <c r="C123" s="3" t="s">
        <v>123</v>
      </c>
      <c r="D123" s="4">
        <f>'FY2020 October Account'!F123</f>
        <v>18678.830000000002</v>
      </c>
      <c r="E123" s="4">
        <f>SUMIFS(TraFY2020Nov[[ Amount]],TraFY2020Nov[[ Acct Desc]], "Fiscal Agent*")</f>
        <v>0</v>
      </c>
      <c r="F123" s="15">
        <f t="shared" ref="F123" si="11">(D123-E123)</f>
        <v>18678.830000000002</v>
      </c>
      <c r="G123" s="374"/>
    </row>
    <row r="124" spans="1:7" x14ac:dyDescent="0.25">
      <c r="A124" s="374"/>
      <c r="B124" s="16" t="s">
        <v>124</v>
      </c>
      <c r="C124" s="2"/>
      <c r="D124" s="5">
        <f>'FY2020 October Account'!F124</f>
        <v>18678.830000000002</v>
      </c>
      <c r="E124" s="6">
        <f>SUM(E123:E123)</f>
        <v>0</v>
      </c>
      <c r="F124" s="21">
        <f>(D124-E124)</f>
        <v>18678.830000000002</v>
      </c>
      <c r="G124" s="374"/>
    </row>
    <row r="125" spans="1:7" x14ac:dyDescent="0.25">
      <c r="A125" s="374"/>
      <c r="B125" s="20"/>
      <c r="C125" s="3"/>
      <c r="D125" s="3"/>
      <c r="E125" s="3"/>
      <c r="F125" s="19"/>
      <c r="G125" s="374"/>
    </row>
    <row r="126" spans="1:7" x14ac:dyDescent="0.25">
      <c r="A126" s="374"/>
      <c r="B126" s="37" t="s">
        <v>125</v>
      </c>
      <c r="C126" s="41"/>
      <c r="D126" s="42">
        <f>'FY2020 October Account'!F126</f>
        <v>18678.830000000002</v>
      </c>
      <c r="E126" s="42">
        <f>SUM(E124)</f>
        <v>0</v>
      </c>
      <c r="F126" s="43">
        <f>(D126-E126)</f>
        <v>18678.830000000002</v>
      </c>
      <c r="G126" s="374"/>
    </row>
    <row r="127" spans="1:7" x14ac:dyDescent="0.25">
      <c r="A127" s="374"/>
      <c r="B127" s="23"/>
      <c r="C127" s="7"/>
      <c r="D127" s="7"/>
      <c r="E127" s="7"/>
      <c r="F127" s="24"/>
      <c r="G127" s="374"/>
    </row>
    <row r="128" spans="1:7" x14ac:dyDescent="0.25">
      <c r="A128" s="374"/>
      <c r="B128" s="23"/>
      <c r="C128" s="7"/>
      <c r="D128" s="7"/>
      <c r="E128" s="7"/>
      <c r="F128" s="24"/>
      <c r="G128" s="374"/>
    </row>
    <row r="129" spans="1:7" ht="15.75" x14ac:dyDescent="0.25">
      <c r="A129" s="374"/>
      <c r="B129" s="25" t="s">
        <v>2279</v>
      </c>
      <c r="C129" s="8"/>
      <c r="D129" s="9"/>
      <c r="E129" s="10">
        <f>SUM(E34)</f>
        <v>407.76</v>
      </c>
      <c r="F129" s="26"/>
      <c r="G129" s="374"/>
    </row>
    <row r="130" spans="1:7" ht="15.75" x14ac:dyDescent="0.25">
      <c r="A130" s="374"/>
      <c r="B130" s="25" t="s">
        <v>2280</v>
      </c>
      <c r="C130" s="8"/>
      <c r="D130" s="9"/>
      <c r="E130" s="10">
        <f>SUM(E64, E79, E95, E118, E126)</f>
        <v>21291.82</v>
      </c>
      <c r="F130" s="26"/>
      <c r="G130" s="374"/>
    </row>
    <row r="131" spans="1:7" ht="16.5" thickBot="1" x14ac:dyDescent="0.3">
      <c r="A131" s="374"/>
      <c r="B131" s="27" t="s">
        <v>2281</v>
      </c>
      <c r="C131" s="28"/>
      <c r="D131" s="29"/>
      <c r="E131" s="30">
        <f>(E129-E130)</f>
        <v>-20884.060000000001</v>
      </c>
      <c r="F131" s="31"/>
      <c r="G131" s="374"/>
    </row>
    <row r="132" spans="1:7" ht="15.75" thickBot="1" x14ac:dyDescent="0.3">
      <c r="A132" s="375" t="b">
        <f>IF(($E$129+$E$130)=(SUM('FY2020 November Transactions'!E:E)),TRUE,FALSE)</f>
        <v>1</v>
      </c>
      <c r="B132" s="376"/>
      <c r="C132" s="376"/>
      <c r="D132" s="376"/>
      <c r="E132" s="376"/>
      <c r="F132" s="376"/>
      <c r="G132" s="377"/>
    </row>
    <row r="134" spans="1:7" x14ac:dyDescent="0.25">
      <c r="C134" s="93"/>
    </row>
    <row r="135" spans="1:7" x14ac:dyDescent="0.25">
      <c r="E135" s="93"/>
    </row>
    <row r="138" spans="1:7" x14ac:dyDescent="0.25">
      <c r="E138" s="93"/>
    </row>
  </sheetData>
  <mergeCells count="7">
    <mergeCell ref="A132:G132"/>
    <mergeCell ref="A1:G1"/>
    <mergeCell ref="A2:A131"/>
    <mergeCell ref="B2:F3"/>
    <mergeCell ref="G2:G131"/>
    <mergeCell ref="B6:F6"/>
    <mergeCell ref="B36:F36"/>
  </mergeCells>
  <conditionalFormatting sqref="A1">
    <cfRule type="cellIs" dxfId="443" priority="8" operator="equal">
      <formula>TRUE</formula>
    </cfRule>
  </conditionalFormatting>
  <conditionalFormatting sqref="A1:A91 G2:G91 G93:G104 A93:A104 A106:A131 G106:G131">
    <cfRule type="cellIs" dxfId="442" priority="7" operator="equal">
      <formula>FALSE</formula>
    </cfRule>
  </conditionalFormatting>
  <conditionalFormatting sqref="A132:G132 G2:G91 A2:A91 A93:A104 G93:G104 G106:G131 A106:A131">
    <cfRule type="cellIs" dxfId="441" priority="6" operator="equal">
      <formula>TRUE</formula>
    </cfRule>
  </conditionalFormatting>
  <conditionalFormatting sqref="A132:G132">
    <cfRule type="cellIs" dxfId="440" priority="5" operator="equal">
      <formula>FALSE</formula>
    </cfRule>
  </conditionalFormatting>
  <conditionalFormatting sqref="A92 G92">
    <cfRule type="cellIs" dxfId="439" priority="4" operator="equal">
      <formula>FALSE</formula>
    </cfRule>
  </conditionalFormatting>
  <conditionalFormatting sqref="G92 A92">
    <cfRule type="cellIs" dxfId="438" priority="3" operator="equal">
      <formula>TRUE</formula>
    </cfRule>
  </conditionalFormatting>
  <conditionalFormatting sqref="A105 G105">
    <cfRule type="cellIs" dxfId="437" priority="2" operator="equal">
      <formula>FALSE</formula>
    </cfRule>
  </conditionalFormatting>
  <conditionalFormatting sqref="G105 A105">
    <cfRule type="cellIs" dxfId="436" priority="1" operator="equal">
      <formula>TRUE</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A2E6-7B1D-4183-A3ED-E2BF559EEE07}">
  <dimension ref="A1:H81"/>
  <sheetViews>
    <sheetView topLeftCell="A25" workbookViewId="0">
      <selection activeCell="D74" sqref="D74"/>
    </sheetView>
  </sheetViews>
  <sheetFormatPr defaultRowHeight="15" x14ac:dyDescent="0.25"/>
  <cols>
    <col min="1" max="1" width="10.7109375" style="36" customWidth="1"/>
    <col min="2" max="6" width="35.7109375" style="36" customWidth="1"/>
    <col min="7" max="16384" width="9.140625" style="36"/>
  </cols>
  <sheetData>
    <row r="1" spans="1:6" ht="16.5" x14ac:dyDescent="0.3">
      <c r="A1" s="91" t="s">
        <v>0</v>
      </c>
      <c r="B1" s="91" t="s">
        <v>1</v>
      </c>
      <c r="C1" s="91" t="s">
        <v>2</v>
      </c>
      <c r="D1" s="91" t="s">
        <v>3</v>
      </c>
      <c r="E1" s="91" t="s">
        <v>4</v>
      </c>
      <c r="F1" s="92" t="s">
        <v>5</v>
      </c>
    </row>
    <row r="2" spans="1:6" ht="15.75" x14ac:dyDescent="0.25">
      <c r="A2" s="35">
        <v>526712</v>
      </c>
      <c r="B2" s="35" t="s">
        <v>14</v>
      </c>
      <c r="C2" s="35" t="s">
        <v>281</v>
      </c>
      <c r="D2" s="35" t="s">
        <v>2282</v>
      </c>
      <c r="E2" s="35">
        <v>101.64</v>
      </c>
      <c r="F2" s="34">
        <v>43770</v>
      </c>
    </row>
    <row r="3" spans="1:6" ht="15.75" x14ac:dyDescent="0.25">
      <c r="A3" s="35">
        <v>526742</v>
      </c>
      <c r="B3" s="35" t="s">
        <v>26</v>
      </c>
      <c r="C3" s="35" t="s">
        <v>281</v>
      </c>
      <c r="D3" s="35" t="s">
        <v>2282</v>
      </c>
      <c r="E3" s="35">
        <v>28.1</v>
      </c>
      <c r="F3" s="34">
        <v>43770</v>
      </c>
    </row>
    <row r="4" spans="1:6" ht="15.75" x14ac:dyDescent="0.25">
      <c r="A4" s="35">
        <v>526712</v>
      </c>
      <c r="B4" s="35" t="s">
        <v>14</v>
      </c>
      <c r="C4" s="35" t="s">
        <v>2211</v>
      </c>
      <c r="D4" s="35" t="s">
        <v>2283</v>
      </c>
      <c r="E4" s="35">
        <v>219.46</v>
      </c>
      <c r="F4" s="34">
        <v>43773</v>
      </c>
    </row>
    <row r="5" spans="1:6" ht="15.75" x14ac:dyDescent="0.25">
      <c r="A5" s="35">
        <v>538110</v>
      </c>
      <c r="B5" s="35" t="s">
        <v>210</v>
      </c>
      <c r="C5" s="35" t="s">
        <v>281</v>
      </c>
      <c r="D5" s="35" t="s">
        <v>2284</v>
      </c>
      <c r="E5" s="35">
        <v>452.02</v>
      </c>
      <c r="F5" s="34">
        <v>43773</v>
      </c>
    </row>
    <row r="6" spans="1:6" ht="15.75" x14ac:dyDescent="0.25">
      <c r="A6" s="35">
        <v>587890</v>
      </c>
      <c r="B6" s="35" t="s">
        <v>32</v>
      </c>
      <c r="C6" s="35" t="s">
        <v>462</v>
      </c>
      <c r="D6" s="35" t="s">
        <v>2285</v>
      </c>
      <c r="E6" s="35">
        <v>250</v>
      </c>
      <c r="F6" s="34">
        <v>43773</v>
      </c>
    </row>
    <row r="7" spans="1:6" ht="15.75" x14ac:dyDescent="0.25">
      <c r="A7" s="35">
        <v>558979</v>
      </c>
      <c r="B7" s="35" t="s">
        <v>150</v>
      </c>
      <c r="C7" s="35" t="s">
        <v>2227</v>
      </c>
      <c r="D7" s="35" t="s">
        <v>2286</v>
      </c>
      <c r="E7" s="35">
        <v>125</v>
      </c>
      <c r="F7" s="34">
        <v>43774</v>
      </c>
    </row>
    <row r="8" spans="1:6" ht="15.75" x14ac:dyDescent="0.25">
      <c r="A8" s="35">
        <v>558979</v>
      </c>
      <c r="B8" s="35" t="s">
        <v>150</v>
      </c>
      <c r="C8" s="35" t="s">
        <v>2002</v>
      </c>
      <c r="D8" s="35" t="s">
        <v>2287</v>
      </c>
      <c r="E8" s="35">
        <v>225</v>
      </c>
      <c r="F8" s="34">
        <v>43774</v>
      </c>
    </row>
    <row r="9" spans="1:6" ht="15.75" x14ac:dyDescent="0.25">
      <c r="A9" s="35">
        <v>558979</v>
      </c>
      <c r="B9" s="35" t="s">
        <v>150</v>
      </c>
      <c r="C9" s="35" t="s">
        <v>2222</v>
      </c>
      <c r="D9" s="35" t="s">
        <v>2288</v>
      </c>
      <c r="E9" s="35">
        <v>125</v>
      </c>
      <c r="F9" s="34">
        <v>43774</v>
      </c>
    </row>
    <row r="10" spans="1:6" ht="15.75" x14ac:dyDescent="0.25">
      <c r="A10" s="35">
        <v>558979</v>
      </c>
      <c r="B10" s="35" t="s">
        <v>150</v>
      </c>
      <c r="C10" s="35" t="s">
        <v>1431</v>
      </c>
      <c r="D10" s="35" t="s">
        <v>2289</v>
      </c>
      <c r="E10" s="35">
        <v>200</v>
      </c>
      <c r="F10" s="34">
        <v>43774</v>
      </c>
    </row>
    <row r="11" spans="1:6" ht="15.75" x14ac:dyDescent="0.25">
      <c r="A11" s="35">
        <v>558979</v>
      </c>
      <c r="B11" s="35" t="s">
        <v>150</v>
      </c>
      <c r="C11" s="35" t="s">
        <v>2224</v>
      </c>
      <c r="D11" s="35" t="s">
        <v>2290</v>
      </c>
      <c r="E11" s="35">
        <v>125</v>
      </c>
      <c r="F11" s="34">
        <v>43774</v>
      </c>
    </row>
    <row r="12" spans="1:6" ht="15.75" x14ac:dyDescent="0.25">
      <c r="A12" s="35">
        <v>558979</v>
      </c>
      <c r="B12" s="35" t="s">
        <v>150</v>
      </c>
      <c r="C12" s="35" t="s">
        <v>15</v>
      </c>
      <c r="D12" s="35" t="s">
        <v>2291</v>
      </c>
      <c r="E12" s="35">
        <v>200</v>
      </c>
      <c r="F12" s="34">
        <v>43774</v>
      </c>
    </row>
    <row r="13" spans="1:6" ht="15.75" x14ac:dyDescent="0.25">
      <c r="A13" s="35">
        <v>558979</v>
      </c>
      <c r="B13" s="35" t="s">
        <v>150</v>
      </c>
      <c r="C13" s="35" t="s">
        <v>1304</v>
      </c>
      <c r="D13" s="35" t="s">
        <v>2292</v>
      </c>
      <c r="E13" s="35">
        <v>400</v>
      </c>
      <c r="F13" s="34">
        <v>43774</v>
      </c>
    </row>
    <row r="14" spans="1:6" ht="15.75" x14ac:dyDescent="0.25">
      <c r="A14" s="35">
        <v>558979</v>
      </c>
      <c r="B14" s="35" t="s">
        <v>150</v>
      </c>
      <c r="C14" s="35" t="s">
        <v>2216</v>
      </c>
      <c r="D14" s="35" t="s">
        <v>2293</v>
      </c>
      <c r="E14" s="35">
        <v>125</v>
      </c>
      <c r="F14" s="34">
        <v>43774</v>
      </c>
    </row>
    <row r="15" spans="1:6" ht="15.75" x14ac:dyDescent="0.25">
      <c r="A15" s="35">
        <v>558979</v>
      </c>
      <c r="B15" s="35" t="s">
        <v>150</v>
      </c>
      <c r="C15" s="35" t="s">
        <v>2220</v>
      </c>
      <c r="D15" s="35" t="s">
        <v>2294</v>
      </c>
      <c r="E15" s="35">
        <v>125</v>
      </c>
      <c r="F15" s="34">
        <v>43774</v>
      </c>
    </row>
    <row r="16" spans="1:6" ht="15.75" x14ac:dyDescent="0.25">
      <c r="A16" s="35">
        <v>558979</v>
      </c>
      <c r="B16" s="35" t="s">
        <v>150</v>
      </c>
      <c r="C16" s="35" t="s">
        <v>2229</v>
      </c>
      <c r="D16" s="35" t="s">
        <v>2295</v>
      </c>
      <c r="E16" s="35">
        <v>125</v>
      </c>
      <c r="F16" s="34">
        <v>43774</v>
      </c>
    </row>
    <row r="17" spans="1:6" ht="15.75" x14ac:dyDescent="0.25">
      <c r="A17" s="35">
        <v>558979</v>
      </c>
      <c r="B17" s="35" t="s">
        <v>150</v>
      </c>
      <c r="C17" s="35" t="s">
        <v>1531</v>
      </c>
      <c r="D17" s="35" t="s">
        <v>2296</v>
      </c>
      <c r="E17" s="35">
        <v>200</v>
      </c>
      <c r="F17" s="34">
        <v>43774</v>
      </c>
    </row>
    <row r="18" spans="1:6" ht="15.75" x14ac:dyDescent="0.25">
      <c r="A18" s="35">
        <v>558979</v>
      </c>
      <c r="B18" s="35" t="s">
        <v>150</v>
      </c>
      <c r="C18" s="35" t="s">
        <v>2186</v>
      </c>
      <c r="D18" s="35" t="s">
        <v>2297</v>
      </c>
      <c r="E18" s="35">
        <v>125</v>
      </c>
      <c r="F18" s="34">
        <v>43774</v>
      </c>
    </row>
    <row r="19" spans="1:6" ht="15.75" x14ac:dyDescent="0.25">
      <c r="A19" s="35">
        <v>558979</v>
      </c>
      <c r="B19" s="35" t="s">
        <v>150</v>
      </c>
      <c r="C19" s="35" t="s">
        <v>2214</v>
      </c>
      <c r="D19" s="35" t="s">
        <v>2298</v>
      </c>
      <c r="E19" s="35">
        <v>125</v>
      </c>
      <c r="F19" s="34">
        <v>43774</v>
      </c>
    </row>
    <row r="20" spans="1:6" ht="15.75" x14ac:dyDescent="0.25">
      <c r="A20" s="35">
        <v>558979</v>
      </c>
      <c r="B20" s="35" t="s">
        <v>150</v>
      </c>
      <c r="C20" s="35" t="s">
        <v>2211</v>
      </c>
      <c r="D20" s="35" t="s">
        <v>2299</v>
      </c>
      <c r="E20" s="35">
        <v>125</v>
      </c>
      <c r="F20" s="34">
        <v>43774</v>
      </c>
    </row>
    <row r="21" spans="1:6" ht="15.75" x14ac:dyDescent="0.25">
      <c r="A21" s="35">
        <v>558979</v>
      </c>
      <c r="B21" s="35" t="s">
        <v>150</v>
      </c>
      <c r="C21" s="35" t="s">
        <v>1533</v>
      </c>
      <c r="D21" s="35" t="s">
        <v>2300</v>
      </c>
      <c r="E21" s="35">
        <v>125</v>
      </c>
      <c r="F21" s="34">
        <v>43774</v>
      </c>
    </row>
    <row r="22" spans="1:6" ht="15.75" x14ac:dyDescent="0.25">
      <c r="A22" s="35">
        <v>558979</v>
      </c>
      <c r="B22" s="35" t="s">
        <v>150</v>
      </c>
      <c r="C22" s="35" t="s">
        <v>1410</v>
      </c>
      <c r="D22" s="35" t="s">
        <v>2301</v>
      </c>
      <c r="E22" s="35">
        <v>200</v>
      </c>
      <c r="F22" s="34">
        <v>43774</v>
      </c>
    </row>
    <row r="23" spans="1:6" ht="15.75" x14ac:dyDescent="0.25">
      <c r="A23" s="35">
        <v>558979</v>
      </c>
      <c r="B23" s="35" t="s">
        <v>150</v>
      </c>
      <c r="C23" s="35" t="s">
        <v>21</v>
      </c>
      <c r="D23" s="35" t="s">
        <v>2302</v>
      </c>
      <c r="E23" s="35">
        <v>200</v>
      </c>
      <c r="F23" s="34">
        <v>43774</v>
      </c>
    </row>
    <row r="24" spans="1:6" ht="15.75" x14ac:dyDescent="0.25">
      <c r="A24" s="35">
        <v>558979</v>
      </c>
      <c r="B24" s="35" t="s">
        <v>150</v>
      </c>
      <c r="C24" s="35" t="s">
        <v>2157</v>
      </c>
      <c r="D24" s="35" t="s">
        <v>2303</v>
      </c>
      <c r="E24" s="35">
        <v>125</v>
      </c>
      <c r="F24" s="34">
        <v>43774</v>
      </c>
    </row>
    <row r="25" spans="1:6" ht="15.75" x14ac:dyDescent="0.25">
      <c r="A25" s="35">
        <v>558979</v>
      </c>
      <c r="B25" s="35" t="s">
        <v>150</v>
      </c>
      <c r="C25" s="35" t="s">
        <v>2233</v>
      </c>
      <c r="D25" s="35" t="s">
        <v>2304</v>
      </c>
      <c r="E25" s="35">
        <v>125</v>
      </c>
      <c r="F25" s="34">
        <v>43774</v>
      </c>
    </row>
    <row r="26" spans="1:6" ht="15.75" x14ac:dyDescent="0.25">
      <c r="A26" s="35">
        <v>558979</v>
      </c>
      <c r="B26" s="35" t="s">
        <v>150</v>
      </c>
      <c r="C26" s="35" t="s">
        <v>2203</v>
      </c>
      <c r="D26" s="35" t="s">
        <v>2305</v>
      </c>
      <c r="E26" s="35">
        <v>125</v>
      </c>
      <c r="F26" s="34">
        <v>43774</v>
      </c>
    </row>
    <row r="27" spans="1:6" ht="15.75" x14ac:dyDescent="0.25">
      <c r="A27" s="35">
        <v>558979</v>
      </c>
      <c r="B27" s="35" t="s">
        <v>150</v>
      </c>
      <c r="C27" s="35" t="s">
        <v>2163</v>
      </c>
      <c r="D27" s="35" t="s">
        <v>2306</v>
      </c>
      <c r="E27" s="35">
        <v>125</v>
      </c>
      <c r="F27" s="34">
        <v>43774</v>
      </c>
    </row>
    <row r="28" spans="1:6" ht="15.75" x14ac:dyDescent="0.25">
      <c r="A28" s="35">
        <v>558979</v>
      </c>
      <c r="B28" s="35" t="s">
        <v>150</v>
      </c>
      <c r="C28" s="35" t="s">
        <v>1493</v>
      </c>
      <c r="D28" s="35" t="s">
        <v>2307</v>
      </c>
      <c r="E28" s="35">
        <v>200</v>
      </c>
      <c r="F28" s="34">
        <v>43774</v>
      </c>
    </row>
    <row r="29" spans="1:6" ht="15.75" x14ac:dyDescent="0.25">
      <c r="A29" s="35">
        <v>558979</v>
      </c>
      <c r="B29" s="35" t="s">
        <v>150</v>
      </c>
      <c r="C29" s="35" t="s">
        <v>281</v>
      </c>
      <c r="D29" s="35" t="s">
        <v>2308</v>
      </c>
      <c r="E29" s="35">
        <v>650</v>
      </c>
      <c r="F29" s="34">
        <v>43774</v>
      </c>
    </row>
    <row r="30" spans="1:6" ht="15.75" x14ac:dyDescent="0.25">
      <c r="A30" s="35">
        <v>558979</v>
      </c>
      <c r="B30" s="35" t="s">
        <v>150</v>
      </c>
      <c r="C30" s="35" t="s">
        <v>2206</v>
      </c>
      <c r="D30" s="35" t="s">
        <v>2309</v>
      </c>
      <c r="E30" s="35">
        <v>125</v>
      </c>
      <c r="F30" s="34">
        <v>43774</v>
      </c>
    </row>
    <row r="31" spans="1:6" ht="15.75" x14ac:dyDescent="0.25">
      <c r="A31" s="35">
        <v>558979</v>
      </c>
      <c r="B31" s="35" t="s">
        <v>150</v>
      </c>
      <c r="C31" s="35" t="s">
        <v>2208</v>
      </c>
      <c r="D31" s="35" t="s">
        <v>2310</v>
      </c>
      <c r="E31" s="35">
        <v>125</v>
      </c>
      <c r="F31" s="34">
        <v>43774</v>
      </c>
    </row>
    <row r="32" spans="1:6" ht="15.75" x14ac:dyDescent="0.25">
      <c r="A32" s="35">
        <v>558979</v>
      </c>
      <c r="B32" s="35" t="s">
        <v>150</v>
      </c>
      <c r="C32" s="35" t="s">
        <v>2236</v>
      </c>
      <c r="D32" s="35" t="s">
        <v>2311</v>
      </c>
      <c r="E32" s="35">
        <v>125</v>
      </c>
      <c r="F32" s="34">
        <v>43774</v>
      </c>
    </row>
    <row r="33" spans="1:6" ht="15.75" x14ac:dyDescent="0.25">
      <c r="A33" s="35">
        <v>526120</v>
      </c>
      <c r="B33" s="35" t="s">
        <v>217</v>
      </c>
      <c r="C33" s="35" t="s">
        <v>1158</v>
      </c>
      <c r="D33" s="35" t="s">
        <v>2312</v>
      </c>
      <c r="E33" s="35">
        <v>73.260000000000005</v>
      </c>
      <c r="F33" s="34">
        <v>43774</v>
      </c>
    </row>
    <row r="34" spans="1:6" ht="15.75" x14ac:dyDescent="0.25">
      <c r="A34" s="35">
        <v>526150</v>
      </c>
      <c r="B34" s="35" t="s">
        <v>258</v>
      </c>
      <c r="C34" s="35" t="s">
        <v>1158</v>
      </c>
      <c r="D34" s="35" t="s">
        <v>2312</v>
      </c>
      <c r="E34" s="35">
        <v>28.1</v>
      </c>
      <c r="F34" s="34">
        <v>43774</v>
      </c>
    </row>
    <row r="35" spans="1:6" ht="15.75" x14ac:dyDescent="0.25">
      <c r="A35" s="35">
        <v>526712</v>
      </c>
      <c r="B35" s="35" t="s">
        <v>14</v>
      </c>
      <c r="C35" s="35" t="s">
        <v>2313</v>
      </c>
      <c r="D35" s="35" t="s">
        <v>2314</v>
      </c>
      <c r="E35" s="35">
        <v>54.78</v>
      </c>
      <c r="F35" s="34">
        <v>43777</v>
      </c>
    </row>
    <row r="36" spans="1:6" ht="15.75" x14ac:dyDescent="0.25">
      <c r="A36" s="35">
        <v>526712</v>
      </c>
      <c r="B36" s="35" t="s">
        <v>14</v>
      </c>
      <c r="C36" s="35" t="s">
        <v>2315</v>
      </c>
      <c r="D36" s="35" t="s">
        <v>2316</v>
      </c>
      <c r="E36" s="35">
        <v>36.299999999999997</v>
      </c>
      <c r="F36" s="34">
        <v>43777</v>
      </c>
    </row>
    <row r="37" spans="1:6" ht="15.75" x14ac:dyDescent="0.25">
      <c r="A37" s="35">
        <v>526712</v>
      </c>
      <c r="B37" s="35" t="s">
        <v>14</v>
      </c>
      <c r="C37" s="35" t="s">
        <v>19</v>
      </c>
      <c r="D37" s="35" t="s">
        <v>2317</v>
      </c>
      <c r="E37" s="35">
        <v>90.42</v>
      </c>
      <c r="F37" s="34">
        <v>43777</v>
      </c>
    </row>
    <row r="38" spans="1:6" ht="15.75" x14ac:dyDescent="0.25">
      <c r="A38" s="35">
        <v>526712</v>
      </c>
      <c r="B38" s="35" t="s">
        <v>14</v>
      </c>
      <c r="C38" s="35" t="s">
        <v>1304</v>
      </c>
      <c r="D38" s="35" t="s">
        <v>2318</v>
      </c>
      <c r="E38" s="35">
        <v>11.6</v>
      </c>
      <c r="F38" s="34">
        <v>43777</v>
      </c>
    </row>
    <row r="39" spans="1:6" ht="15.75" x14ac:dyDescent="0.25">
      <c r="A39" s="35">
        <v>526712</v>
      </c>
      <c r="B39" s="35" t="s">
        <v>14</v>
      </c>
      <c r="C39" s="35" t="s">
        <v>281</v>
      </c>
      <c r="D39" s="35" t="s">
        <v>2319</v>
      </c>
      <c r="E39" s="35">
        <v>29</v>
      </c>
      <c r="F39" s="34">
        <v>43777</v>
      </c>
    </row>
    <row r="40" spans="1:6" ht="15.75" x14ac:dyDescent="0.25">
      <c r="A40" s="35">
        <v>526713</v>
      </c>
      <c r="B40" s="35" t="s">
        <v>757</v>
      </c>
      <c r="C40" s="35" t="s">
        <v>2082</v>
      </c>
      <c r="D40" s="35" t="s">
        <v>2320</v>
      </c>
      <c r="E40" s="35">
        <v>38.72</v>
      </c>
      <c r="F40" s="34">
        <v>43777</v>
      </c>
    </row>
    <row r="41" spans="1:6" ht="15.75" x14ac:dyDescent="0.25">
      <c r="A41" s="35">
        <v>526712</v>
      </c>
      <c r="B41" s="35" t="s">
        <v>14</v>
      </c>
      <c r="C41" s="35" t="s">
        <v>2322</v>
      </c>
      <c r="D41" s="35" t="s">
        <v>2323</v>
      </c>
      <c r="E41" s="35">
        <v>47.52</v>
      </c>
      <c r="F41" s="34">
        <v>43781</v>
      </c>
    </row>
    <row r="42" spans="1:6" ht="15.75" x14ac:dyDescent="0.25">
      <c r="A42" s="35">
        <v>526712</v>
      </c>
      <c r="B42" s="35" t="s">
        <v>14</v>
      </c>
      <c r="C42" s="35" t="s">
        <v>1223</v>
      </c>
      <c r="D42" s="35" t="s">
        <v>2324</v>
      </c>
      <c r="E42" s="35">
        <v>53.46</v>
      </c>
      <c r="F42" s="34">
        <v>43781</v>
      </c>
    </row>
    <row r="43" spans="1:6" ht="15.75" x14ac:dyDescent="0.25">
      <c r="A43" s="35">
        <v>526712</v>
      </c>
      <c r="B43" s="35" t="s">
        <v>14</v>
      </c>
      <c r="C43" s="35" t="s">
        <v>2080</v>
      </c>
      <c r="D43" s="35" t="s">
        <v>2325</v>
      </c>
      <c r="E43" s="35">
        <v>148.5</v>
      </c>
      <c r="F43" s="34">
        <v>43781</v>
      </c>
    </row>
    <row r="44" spans="1:6" ht="15.75" x14ac:dyDescent="0.25">
      <c r="A44" s="35">
        <v>526712</v>
      </c>
      <c r="B44" s="35" t="s">
        <v>14</v>
      </c>
      <c r="C44" s="35" t="s">
        <v>1486</v>
      </c>
      <c r="D44" s="35" t="s">
        <v>2326</v>
      </c>
      <c r="E44" s="35">
        <v>73.260000000000005</v>
      </c>
      <c r="F44" s="34">
        <v>43781</v>
      </c>
    </row>
    <row r="45" spans="1:6" ht="15.75" x14ac:dyDescent="0.25">
      <c r="A45" s="35">
        <v>526712</v>
      </c>
      <c r="B45" s="35" t="s">
        <v>14</v>
      </c>
      <c r="C45" s="35" t="s">
        <v>2048</v>
      </c>
      <c r="D45" s="35" t="s">
        <v>2327</v>
      </c>
      <c r="E45" s="35">
        <v>67.319999999999993</v>
      </c>
      <c r="F45" s="34">
        <v>43781</v>
      </c>
    </row>
    <row r="46" spans="1:6" ht="15.75" x14ac:dyDescent="0.25">
      <c r="A46" s="35">
        <v>526712</v>
      </c>
      <c r="B46" s="35" t="s">
        <v>14</v>
      </c>
      <c r="C46" s="35" t="s">
        <v>2328</v>
      </c>
      <c r="D46" s="35" t="s">
        <v>2329</v>
      </c>
      <c r="E46" s="35">
        <v>29</v>
      </c>
      <c r="F46" s="34">
        <v>43781</v>
      </c>
    </row>
    <row r="47" spans="1:6" ht="15.75" x14ac:dyDescent="0.25">
      <c r="A47" s="35">
        <v>558921</v>
      </c>
      <c r="B47" s="35" t="s">
        <v>262</v>
      </c>
      <c r="C47" s="35" t="s">
        <v>924</v>
      </c>
      <c r="D47" s="35" t="s">
        <v>2330</v>
      </c>
      <c r="E47" s="35">
        <v>-11.66</v>
      </c>
      <c r="F47" s="34">
        <v>43787</v>
      </c>
    </row>
    <row r="48" spans="1:6" ht="15.75" x14ac:dyDescent="0.25">
      <c r="A48" s="35">
        <v>558921</v>
      </c>
      <c r="B48" s="35" t="s">
        <v>262</v>
      </c>
      <c r="C48" s="35" t="s">
        <v>924</v>
      </c>
      <c r="D48" s="35" t="s">
        <v>2330</v>
      </c>
      <c r="E48" s="35">
        <v>11.66</v>
      </c>
      <c r="F48" s="34">
        <v>43787</v>
      </c>
    </row>
    <row r="49" spans="1:6" ht="15.75" x14ac:dyDescent="0.25">
      <c r="A49" s="35">
        <v>558921</v>
      </c>
      <c r="B49" s="35" t="s">
        <v>262</v>
      </c>
      <c r="C49" s="35" t="s">
        <v>924</v>
      </c>
      <c r="D49" s="35" t="s">
        <v>2330</v>
      </c>
      <c r="E49" s="35">
        <v>11.66</v>
      </c>
      <c r="F49" s="34">
        <v>43787</v>
      </c>
    </row>
    <row r="50" spans="1:6" ht="15.75" x14ac:dyDescent="0.25">
      <c r="A50" s="35">
        <v>511120</v>
      </c>
      <c r="B50" s="35" t="s">
        <v>6</v>
      </c>
      <c r="C50" s="35" t="s">
        <v>7</v>
      </c>
      <c r="D50" s="35" t="s">
        <v>2331</v>
      </c>
      <c r="E50" s="35">
        <v>4416.6400000000003</v>
      </c>
      <c r="F50" s="34">
        <v>43796</v>
      </c>
    </row>
    <row r="51" spans="1:6" ht="15.75" x14ac:dyDescent="0.25">
      <c r="A51" s="35">
        <v>515120</v>
      </c>
      <c r="B51" s="35" t="s">
        <v>9</v>
      </c>
      <c r="C51" s="35" t="s">
        <v>7</v>
      </c>
      <c r="D51" s="35" t="s">
        <v>2331</v>
      </c>
      <c r="E51" s="35">
        <v>269.35000000000002</v>
      </c>
      <c r="F51" s="34">
        <v>43796</v>
      </c>
    </row>
    <row r="52" spans="1:6" ht="15.75" x14ac:dyDescent="0.25">
      <c r="A52" s="35">
        <v>515130</v>
      </c>
      <c r="B52" s="35" t="s">
        <v>10</v>
      </c>
      <c r="C52" s="35" t="s">
        <v>7</v>
      </c>
      <c r="D52" s="35" t="s">
        <v>2331</v>
      </c>
      <c r="E52" s="35">
        <v>63</v>
      </c>
      <c r="F52" s="34">
        <v>43796</v>
      </c>
    </row>
    <row r="53" spans="1:6" ht="15.75" x14ac:dyDescent="0.25">
      <c r="A53" s="35">
        <v>515410</v>
      </c>
      <c r="B53" s="35" t="s">
        <v>11</v>
      </c>
      <c r="C53" s="35" t="s">
        <v>7</v>
      </c>
      <c r="D53" s="35" t="s">
        <v>2331</v>
      </c>
      <c r="E53" s="35">
        <v>302.10000000000002</v>
      </c>
      <c r="F53" s="34">
        <v>43796</v>
      </c>
    </row>
    <row r="54" spans="1:6" ht="15.75" x14ac:dyDescent="0.25">
      <c r="A54" s="35">
        <v>515420</v>
      </c>
      <c r="B54" s="35" t="s">
        <v>12</v>
      </c>
      <c r="C54" s="35" t="s">
        <v>7</v>
      </c>
      <c r="D54" s="35" t="s">
        <v>2331</v>
      </c>
      <c r="E54" s="35">
        <v>290.17</v>
      </c>
      <c r="F54" s="34">
        <v>43796</v>
      </c>
    </row>
    <row r="55" spans="1:6" ht="15.75" x14ac:dyDescent="0.25">
      <c r="A55" s="35">
        <v>515530</v>
      </c>
      <c r="B55" s="35" t="s">
        <v>13</v>
      </c>
      <c r="C55" s="35" t="s">
        <v>7</v>
      </c>
      <c r="D55" s="35" t="s">
        <v>2331</v>
      </c>
      <c r="E55" s="35">
        <v>348.28</v>
      </c>
      <c r="F55" s="34">
        <v>43796</v>
      </c>
    </row>
    <row r="56" spans="1:6" ht="15.75" x14ac:dyDescent="0.25">
      <c r="A56" s="35">
        <v>526712</v>
      </c>
      <c r="B56" s="35" t="s">
        <v>14</v>
      </c>
      <c r="C56" s="35" t="s">
        <v>21</v>
      </c>
      <c r="D56" s="35" t="s">
        <v>2332</v>
      </c>
      <c r="E56" s="35">
        <v>147.84</v>
      </c>
      <c r="F56" s="34">
        <v>43796</v>
      </c>
    </row>
    <row r="57" spans="1:6" ht="15.75" x14ac:dyDescent="0.25">
      <c r="A57" s="35">
        <v>526712</v>
      </c>
      <c r="B57" s="35" t="s">
        <v>14</v>
      </c>
      <c r="C57" s="35" t="s">
        <v>15</v>
      </c>
      <c r="D57" s="35" t="s">
        <v>2333</v>
      </c>
      <c r="E57" s="35">
        <v>181.5</v>
      </c>
      <c r="F57" s="34">
        <v>43796</v>
      </c>
    </row>
    <row r="58" spans="1:6" ht="15.75" x14ac:dyDescent="0.25">
      <c r="A58" s="35">
        <v>526712</v>
      </c>
      <c r="B58" s="35" t="s">
        <v>14</v>
      </c>
      <c r="C58" s="35" t="s">
        <v>2328</v>
      </c>
      <c r="D58" s="35" t="s">
        <v>2334</v>
      </c>
      <c r="E58" s="35">
        <v>193.38</v>
      </c>
      <c r="F58" s="34">
        <v>43796</v>
      </c>
    </row>
    <row r="59" spans="1:6" ht="15.75" x14ac:dyDescent="0.25">
      <c r="A59" s="35">
        <v>526712</v>
      </c>
      <c r="B59" s="35" t="s">
        <v>14</v>
      </c>
      <c r="C59" s="35" t="s">
        <v>2236</v>
      </c>
      <c r="D59" s="35" t="s">
        <v>2335</v>
      </c>
      <c r="E59" s="35">
        <v>178.86</v>
      </c>
      <c r="F59" s="34">
        <v>43796</v>
      </c>
    </row>
    <row r="60" spans="1:6" ht="15.75" x14ac:dyDescent="0.25">
      <c r="A60" s="35">
        <v>526712</v>
      </c>
      <c r="B60" s="35" t="s">
        <v>14</v>
      </c>
      <c r="C60" s="35" t="s">
        <v>1431</v>
      </c>
      <c r="D60" s="35" t="s">
        <v>2336</v>
      </c>
      <c r="E60" s="35">
        <v>193.38</v>
      </c>
      <c r="F60" s="34">
        <v>43796</v>
      </c>
    </row>
    <row r="61" spans="1:6" ht="15.75" x14ac:dyDescent="0.25">
      <c r="A61" s="35">
        <v>526712</v>
      </c>
      <c r="B61" s="35" t="s">
        <v>14</v>
      </c>
      <c r="C61" s="35" t="s">
        <v>2163</v>
      </c>
      <c r="D61" s="35" t="s">
        <v>2337</v>
      </c>
      <c r="E61" s="35">
        <v>89.1</v>
      </c>
      <c r="F61" s="34">
        <v>43796</v>
      </c>
    </row>
    <row r="62" spans="1:6" ht="15.75" x14ac:dyDescent="0.25">
      <c r="A62" s="35">
        <v>526712</v>
      </c>
      <c r="B62" s="35" t="s">
        <v>14</v>
      </c>
      <c r="C62" s="35" t="s">
        <v>1304</v>
      </c>
      <c r="D62" s="35" t="s">
        <v>2338</v>
      </c>
      <c r="E62" s="35">
        <v>180.84</v>
      </c>
      <c r="F62" s="34">
        <v>43796</v>
      </c>
    </row>
    <row r="63" spans="1:6" ht="15.75" x14ac:dyDescent="0.25">
      <c r="A63" s="35">
        <v>526712</v>
      </c>
      <c r="B63" s="35" t="s">
        <v>14</v>
      </c>
      <c r="C63" s="35" t="s">
        <v>2039</v>
      </c>
      <c r="D63" s="35" t="s">
        <v>2339</v>
      </c>
      <c r="E63" s="35">
        <v>34.659999999999997</v>
      </c>
      <c r="F63" s="34">
        <v>43796</v>
      </c>
    </row>
    <row r="64" spans="1:6" ht="15.75" x14ac:dyDescent="0.25">
      <c r="A64" s="35">
        <v>526712</v>
      </c>
      <c r="B64" s="35" t="s">
        <v>14</v>
      </c>
      <c r="C64" s="35" t="s">
        <v>1531</v>
      </c>
      <c r="D64" s="35" t="s">
        <v>2340</v>
      </c>
      <c r="E64" s="35">
        <v>181.5</v>
      </c>
      <c r="F64" s="34">
        <v>43796</v>
      </c>
    </row>
    <row r="65" spans="1:8" ht="15.75" x14ac:dyDescent="0.25">
      <c r="A65" s="35">
        <v>526712</v>
      </c>
      <c r="B65" s="35" t="s">
        <v>14</v>
      </c>
      <c r="C65" s="35" t="s">
        <v>2313</v>
      </c>
      <c r="D65" s="35" t="s">
        <v>2341</v>
      </c>
      <c r="E65" s="35">
        <v>128.69999999999999</v>
      </c>
      <c r="F65" s="34">
        <v>43796</v>
      </c>
    </row>
    <row r="66" spans="1:8" ht="15.75" x14ac:dyDescent="0.25">
      <c r="A66" s="35">
        <v>526742</v>
      </c>
      <c r="B66" s="35" t="s">
        <v>26</v>
      </c>
      <c r="C66" s="35" t="s">
        <v>21</v>
      </c>
      <c r="D66" s="35" t="s">
        <v>2332</v>
      </c>
      <c r="E66" s="35">
        <v>19.5</v>
      </c>
      <c r="F66" s="34">
        <v>43796</v>
      </c>
    </row>
    <row r="67" spans="1:8" ht="15.75" x14ac:dyDescent="0.25">
      <c r="A67" s="35">
        <v>526742</v>
      </c>
      <c r="B67" s="35" t="s">
        <v>26</v>
      </c>
      <c r="C67" s="35" t="s">
        <v>15</v>
      </c>
      <c r="D67" s="35" t="s">
        <v>2333</v>
      </c>
      <c r="E67" s="35">
        <v>19.5</v>
      </c>
      <c r="F67" s="34">
        <v>43796</v>
      </c>
    </row>
    <row r="68" spans="1:8" ht="15.75" x14ac:dyDescent="0.25">
      <c r="A68" s="35">
        <v>526742</v>
      </c>
      <c r="B68" s="35" t="s">
        <v>26</v>
      </c>
      <c r="C68" s="35" t="s">
        <v>1431</v>
      </c>
      <c r="D68" s="35" t="s">
        <v>2336</v>
      </c>
      <c r="E68" s="35">
        <v>19.5</v>
      </c>
      <c r="F68" s="34">
        <v>43796</v>
      </c>
    </row>
    <row r="69" spans="1:8" ht="15.75" x14ac:dyDescent="0.25">
      <c r="A69" s="35">
        <v>526742</v>
      </c>
      <c r="B69" s="35" t="s">
        <v>26</v>
      </c>
      <c r="C69" s="35" t="s">
        <v>1304</v>
      </c>
      <c r="D69" s="35" t="s">
        <v>2338</v>
      </c>
      <c r="E69" s="35">
        <v>19.5</v>
      </c>
      <c r="F69" s="34">
        <v>43796</v>
      </c>
    </row>
    <row r="70" spans="1:8" ht="15.75" x14ac:dyDescent="0.25">
      <c r="A70" s="35">
        <v>526742</v>
      </c>
      <c r="B70" s="35" t="s">
        <v>26</v>
      </c>
      <c r="C70" s="35" t="s">
        <v>1531</v>
      </c>
      <c r="D70" s="35" t="s">
        <v>2340</v>
      </c>
      <c r="E70" s="35">
        <v>19.5</v>
      </c>
      <c r="F70" s="34">
        <v>43796</v>
      </c>
    </row>
    <row r="71" spans="1:8" ht="15.75" x14ac:dyDescent="0.25">
      <c r="A71" s="35">
        <v>526120</v>
      </c>
      <c r="B71" s="35" t="s">
        <v>217</v>
      </c>
      <c r="C71" s="35" t="s">
        <v>1158</v>
      </c>
      <c r="D71" s="35" t="s">
        <v>2342</v>
      </c>
      <c r="E71" s="35">
        <v>128.69999999999999</v>
      </c>
      <c r="F71" s="34">
        <v>43797</v>
      </c>
    </row>
    <row r="72" spans="1:8" ht="15.75" x14ac:dyDescent="0.25">
      <c r="A72" s="35">
        <v>526150</v>
      </c>
      <c r="B72" s="35" t="s">
        <v>258</v>
      </c>
      <c r="C72" s="35" t="s">
        <v>1158</v>
      </c>
      <c r="D72" s="35" t="s">
        <v>2342</v>
      </c>
      <c r="E72" s="35">
        <v>58.9</v>
      </c>
      <c r="F72" s="34">
        <v>43797</v>
      </c>
    </row>
    <row r="73" spans="1:8" ht="15.75" x14ac:dyDescent="0.25">
      <c r="A73" s="35">
        <v>431210</v>
      </c>
      <c r="B73" s="35" t="s">
        <v>33</v>
      </c>
      <c r="C73" s="35" t="s">
        <v>2456</v>
      </c>
      <c r="D73" s="35" t="s">
        <v>2458</v>
      </c>
      <c r="E73" s="35">
        <v>407.76</v>
      </c>
      <c r="F73" s="34">
        <v>43799</v>
      </c>
    </row>
    <row r="74" spans="1:8" ht="15.75" x14ac:dyDescent="0.25">
      <c r="A74" s="35">
        <v>526741</v>
      </c>
      <c r="B74" s="35" t="s">
        <v>23</v>
      </c>
      <c r="C74" s="35" t="s">
        <v>263</v>
      </c>
      <c r="D74" s="35" t="s">
        <v>2354</v>
      </c>
      <c r="E74" s="35">
        <v>7363.3</v>
      </c>
      <c r="F74" s="34">
        <v>43804</v>
      </c>
      <c r="H74" s="36" t="s">
        <v>2391</v>
      </c>
    </row>
    <row r="81" spans="6:6" x14ac:dyDescent="0.25">
      <c r="F81" s="93"/>
    </row>
  </sheetData>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948F1-9E63-4E63-9559-43EB86E0CB59}">
  <dimension ref="A1:G138"/>
  <sheetViews>
    <sheetView workbookViewId="0">
      <selection activeCell="E25" sqref="E25"/>
    </sheetView>
  </sheetViews>
  <sheetFormatPr defaultRowHeight="15" x14ac:dyDescent="0.25"/>
  <cols>
    <col min="1" max="1" width="3.28515625" style="36" customWidth="1"/>
    <col min="2" max="6" width="40.7109375" style="36" customWidth="1"/>
    <col min="7" max="7" width="3.28515625" style="36" customWidth="1"/>
    <col min="8" max="16384" width="9.140625" style="36"/>
  </cols>
  <sheetData>
    <row r="1" spans="1:7" ht="15.75" thickBot="1" x14ac:dyDescent="0.3">
      <c r="A1" s="371" t="b">
        <f>IF(($E$129+$E$130)=(SUM('FY2020 October Transactions'!E:E)),TRUE,FALSE)</f>
        <v>1</v>
      </c>
      <c r="B1" s="372"/>
      <c r="C1" s="372"/>
      <c r="D1" s="372"/>
      <c r="E1" s="372"/>
      <c r="F1" s="372"/>
      <c r="G1" s="373"/>
    </row>
    <row r="2" spans="1:7" ht="26.25" customHeight="1" x14ac:dyDescent="0.25">
      <c r="A2" s="374" t="b">
        <f>IF(($E$129+$E$130)=(SUM('FY2020 October Transactions'!E:E)),TRUE,FALSE)</f>
        <v>1</v>
      </c>
      <c r="B2" s="350" t="s">
        <v>2271</v>
      </c>
      <c r="C2" s="351"/>
      <c r="D2" s="351"/>
      <c r="E2" s="351"/>
      <c r="F2" s="352"/>
      <c r="G2" s="374" t="b">
        <f>IF(($E$129+$E$130)=(SUM('FY2020 October Transactions'!E:E)),TRUE,FALSE)</f>
        <v>1</v>
      </c>
    </row>
    <row r="3" spans="1:7" ht="26.25" customHeight="1" x14ac:dyDescent="0.25">
      <c r="A3" s="374"/>
      <c r="B3" s="353"/>
      <c r="C3" s="354"/>
      <c r="D3" s="354"/>
      <c r="E3" s="354"/>
      <c r="F3" s="355"/>
      <c r="G3" s="374"/>
    </row>
    <row r="4" spans="1:7" ht="15.75" x14ac:dyDescent="0.25">
      <c r="A4" s="374"/>
      <c r="B4" s="313" t="s">
        <v>53</v>
      </c>
      <c r="C4" s="314" t="s">
        <v>54</v>
      </c>
      <c r="D4" s="314" t="s">
        <v>2111</v>
      </c>
      <c r="E4" s="314" t="s">
        <v>168</v>
      </c>
      <c r="F4" s="315" t="s">
        <v>2112</v>
      </c>
      <c r="G4" s="374"/>
    </row>
    <row r="5" spans="1:7" ht="15.75" x14ac:dyDescent="0.25">
      <c r="A5" s="374"/>
      <c r="B5" s="11"/>
      <c r="C5" s="1"/>
      <c r="D5" s="1"/>
      <c r="E5" s="1"/>
      <c r="F5" s="12"/>
      <c r="G5" s="374"/>
    </row>
    <row r="6" spans="1:7" ht="15.75" x14ac:dyDescent="0.25">
      <c r="A6" s="374"/>
      <c r="B6" s="344" t="s">
        <v>1979</v>
      </c>
      <c r="C6" s="345"/>
      <c r="D6" s="345"/>
      <c r="E6" s="345"/>
      <c r="F6" s="346"/>
      <c r="G6" s="374"/>
    </row>
    <row r="7" spans="1:7" ht="15.75" x14ac:dyDescent="0.25">
      <c r="A7" s="374"/>
      <c r="B7" s="11"/>
      <c r="C7" s="1"/>
      <c r="D7" s="1"/>
      <c r="E7" s="1"/>
      <c r="F7" s="12"/>
      <c r="G7" s="374"/>
    </row>
    <row r="8" spans="1:7" x14ac:dyDescent="0.25">
      <c r="A8" s="374"/>
      <c r="B8" s="80" t="s">
        <v>132</v>
      </c>
      <c r="C8" s="81"/>
      <c r="D8" s="81"/>
      <c r="E8" s="81"/>
      <c r="F8" s="82"/>
      <c r="G8" s="374"/>
    </row>
    <row r="9" spans="1:7" ht="15.75" x14ac:dyDescent="0.25">
      <c r="A9" s="374"/>
      <c r="B9" s="11"/>
      <c r="C9" s="1"/>
      <c r="D9" s="1"/>
      <c r="E9" s="1"/>
      <c r="F9" s="12"/>
      <c r="G9" s="374"/>
    </row>
    <row r="10" spans="1:7" x14ac:dyDescent="0.25">
      <c r="A10" s="374"/>
      <c r="B10" s="13" t="s">
        <v>133</v>
      </c>
      <c r="C10" s="2"/>
      <c r="D10" s="2"/>
      <c r="E10" s="2"/>
      <c r="F10" s="14"/>
      <c r="G10" s="374"/>
    </row>
    <row r="11" spans="1:7" ht="15.75" x14ac:dyDescent="0.25">
      <c r="A11" s="374"/>
      <c r="B11" s="11"/>
      <c r="C11" s="3" t="s">
        <v>134</v>
      </c>
      <c r="D11" s="4">
        <f>'FY2020 September Account'!F11</f>
        <v>243361.74</v>
      </c>
      <c r="E11" s="4">
        <f>E131</f>
        <v>31072.759999999995</v>
      </c>
      <c r="F11" s="15">
        <f>(D11+E11)</f>
        <v>274434.5</v>
      </c>
      <c r="G11" s="374"/>
    </row>
    <row r="12" spans="1:7" x14ac:dyDescent="0.25">
      <c r="A12" s="374"/>
      <c r="B12" s="16" t="s">
        <v>136</v>
      </c>
      <c r="C12" s="2"/>
      <c r="D12" s="5">
        <f>'FY2020 September Account'!F12</f>
        <v>243361.74</v>
      </c>
      <c r="E12" s="5">
        <f>SUM(E11:E11)</f>
        <v>31072.759999999995</v>
      </c>
      <c r="F12" s="17">
        <f>(D12+E12)</f>
        <v>274434.5</v>
      </c>
      <c r="G12" s="374"/>
    </row>
    <row r="13" spans="1:7" ht="15.75" x14ac:dyDescent="0.25">
      <c r="A13" s="374"/>
      <c r="B13" s="11"/>
      <c r="C13" s="1"/>
      <c r="D13" s="1"/>
      <c r="E13" s="1"/>
      <c r="F13" s="12"/>
      <c r="G13" s="374"/>
    </row>
    <row r="14" spans="1:7" x14ac:dyDescent="0.25">
      <c r="A14" s="374"/>
      <c r="B14" s="13" t="s">
        <v>139</v>
      </c>
      <c r="C14" s="2"/>
      <c r="D14" s="2"/>
      <c r="E14" s="2"/>
      <c r="F14" s="14"/>
      <c r="G14" s="374"/>
    </row>
    <row r="15" spans="1:7" ht="15.75" x14ac:dyDescent="0.25">
      <c r="A15" s="374"/>
      <c r="B15" s="11"/>
      <c r="C15" s="3" t="s">
        <v>135</v>
      </c>
      <c r="D15" s="4">
        <f>'FY2020 September Account'!F15</f>
        <v>0</v>
      </c>
      <c r="E15" s="4">
        <v>0</v>
      </c>
      <c r="F15" s="15">
        <f>(D15+E15)</f>
        <v>0</v>
      </c>
      <c r="G15" s="374"/>
    </row>
    <row r="16" spans="1:7" ht="15.75" x14ac:dyDescent="0.25">
      <c r="A16" s="374"/>
      <c r="B16" s="11"/>
      <c r="C16" s="3" t="s">
        <v>140</v>
      </c>
      <c r="D16" s="4">
        <f>'FY2020 September Account'!F16</f>
        <v>0</v>
      </c>
      <c r="E16" s="4">
        <v>0</v>
      </c>
      <c r="F16" s="15">
        <f>(D16+E16)</f>
        <v>0</v>
      </c>
      <c r="G16" s="374"/>
    </row>
    <row r="17" spans="1:7" x14ac:dyDescent="0.25">
      <c r="A17" s="374"/>
      <c r="B17" s="16" t="s">
        <v>137</v>
      </c>
      <c r="C17" s="2"/>
      <c r="D17" s="5">
        <f>'FY2020 September Account'!F17</f>
        <v>0</v>
      </c>
      <c r="E17" s="5">
        <f>SUM(E15:E16)</f>
        <v>0</v>
      </c>
      <c r="F17" s="17">
        <f>(D17-E17)</f>
        <v>0</v>
      </c>
      <c r="G17" s="374"/>
    </row>
    <row r="18" spans="1:7" ht="15.75" x14ac:dyDescent="0.25">
      <c r="A18" s="374"/>
      <c r="B18" s="11"/>
      <c r="C18" s="1"/>
      <c r="D18" s="1"/>
      <c r="E18" s="1"/>
      <c r="F18" s="12"/>
      <c r="G18" s="374"/>
    </row>
    <row r="19" spans="1:7" x14ac:dyDescent="0.25">
      <c r="A19" s="374"/>
      <c r="B19" s="83" t="s">
        <v>138</v>
      </c>
      <c r="C19" s="84"/>
      <c r="D19" s="85">
        <f>'FY2020 September Account'!F19</f>
        <v>243361.74</v>
      </c>
      <c r="E19" s="85">
        <f>SUM(E12,E17)</f>
        <v>31072.759999999995</v>
      </c>
      <c r="F19" s="86">
        <f>(D19+E19)</f>
        <v>274434.5</v>
      </c>
      <c r="G19" s="374"/>
    </row>
    <row r="20" spans="1:7" ht="15.75" x14ac:dyDescent="0.25">
      <c r="A20" s="374"/>
      <c r="B20" s="11"/>
      <c r="C20" s="1"/>
      <c r="D20" s="1"/>
      <c r="E20" s="1"/>
      <c r="F20" s="12"/>
      <c r="G20" s="374"/>
    </row>
    <row r="21" spans="1:7" x14ac:dyDescent="0.25">
      <c r="A21" s="374"/>
      <c r="B21" s="73" t="s">
        <v>55</v>
      </c>
      <c r="C21" s="74"/>
      <c r="D21" s="74"/>
      <c r="E21" s="74"/>
      <c r="F21" s="75"/>
      <c r="G21" s="374"/>
    </row>
    <row r="22" spans="1:7" ht="15.75" x14ac:dyDescent="0.25">
      <c r="A22" s="374"/>
      <c r="B22" s="11"/>
      <c r="C22" s="1"/>
      <c r="D22" s="1"/>
      <c r="E22" s="1"/>
      <c r="F22" s="12"/>
      <c r="G22" s="374"/>
    </row>
    <row r="23" spans="1:7" x14ac:dyDescent="0.25">
      <c r="A23" s="374"/>
      <c r="B23" s="13" t="s">
        <v>56</v>
      </c>
      <c r="C23" s="2"/>
      <c r="D23" s="2"/>
      <c r="E23" s="2"/>
      <c r="F23" s="14"/>
      <c r="G23" s="374"/>
    </row>
    <row r="24" spans="1:7" ht="15.75" x14ac:dyDescent="0.25">
      <c r="A24" s="374"/>
      <c r="B24" s="11"/>
      <c r="C24" s="3" t="s">
        <v>57</v>
      </c>
      <c r="D24" s="4">
        <f>'FY2020 September Account'!F24</f>
        <v>66451.48000000001</v>
      </c>
      <c r="E24" s="4">
        <f>SUMIFS(TraFY2020Oct[[ Amount]],TraFY2020Oct[[ Acct Desc]], "Transfer In*") + SUMIFS(TraFY2020Oct[[ Amount]],TraFY2020Oct[[ Acct Desc]], "ASG FEE*")</f>
        <v>47658.479999999996</v>
      </c>
      <c r="F24" s="15">
        <f>(D24+E24)</f>
        <v>114109.96</v>
      </c>
      <c r="G24" s="374"/>
    </row>
    <row r="25" spans="1:7" ht="15.75" x14ac:dyDescent="0.25">
      <c r="A25" s="374"/>
      <c r="B25" s="11"/>
      <c r="C25" s="3" t="s">
        <v>129</v>
      </c>
      <c r="D25" s="4">
        <f>'FY2020 September Account'!F25</f>
        <v>1155.9000000000001</v>
      </c>
      <c r="E25" s="4">
        <f>SUMIFS(TraFY2020Oct[[ Amount]],TraFY2020Oct[[ Acct Desc]], "*Income*")</f>
        <v>469.36</v>
      </c>
      <c r="F25" s="15">
        <f>(D25+E25)</f>
        <v>1625.2600000000002</v>
      </c>
      <c r="G25" s="374"/>
    </row>
    <row r="26" spans="1:7" ht="15.75" x14ac:dyDescent="0.25">
      <c r="A26" s="374"/>
      <c r="B26" s="11"/>
      <c r="C26" s="3" t="s">
        <v>2019</v>
      </c>
      <c r="D26" s="4">
        <f>'FY2020 September Account'!F26</f>
        <v>0</v>
      </c>
      <c r="E26" s="4">
        <v>0</v>
      </c>
      <c r="F26" s="15">
        <f>(D26+E26)</f>
        <v>0</v>
      </c>
      <c r="G26" s="374"/>
    </row>
    <row r="27" spans="1:7" x14ac:dyDescent="0.25">
      <c r="A27" s="374"/>
      <c r="B27" s="16" t="s">
        <v>58</v>
      </c>
      <c r="C27" s="2"/>
      <c r="D27" s="5">
        <f>'FY2020 September Account'!F27</f>
        <v>67607.38</v>
      </c>
      <c r="E27" s="5">
        <f>SUM(E24:E26)</f>
        <v>48127.839999999997</v>
      </c>
      <c r="F27" s="17">
        <f>(D27+E27)</f>
        <v>115735.22</v>
      </c>
      <c r="G27" s="374"/>
    </row>
    <row r="28" spans="1:7" ht="15.75" x14ac:dyDescent="0.25">
      <c r="A28" s="374"/>
      <c r="B28" s="11"/>
      <c r="C28" s="1"/>
      <c r="D28" s="1"/>
      <c r="E28" s="1"/>
      <c r="F28" s="12"/>
      <c r="G28" s="374"/>
    </row>
    <row r="29" spans="1:7" x14ac:dyDescent="0.25">
      <c r="A29" s="374"/>
      <c r="B29" s="13" t="s">
        <v>59</v>
      </c>
      <c r="C29" s="2"/>
      <c r="D29" s="2"/>
      <c r="E29" s="2"/>
      <c r="F29" s="14"/>
      <c r="G29" s="374"/>
    </row>
    <row r="30" spans="1:7" ht="15.75" x14ac:dyDescent="0.25">
      <c r="A30" s="374"/>
      <c r="B30" s="11"/>
      <c r="C30" s="3" t="s">
        <v>60</v>
      </c>
      <c r="D30" s="4">
        <f>'FY2020 September Account'!F30</f>
        <v>0</v>
      </c>
      <c r="E30" s="4">
        <v>0</v>
      </c>
      <c r="F30" s="15">
        <f>(D30+E30)</f>
        <v>0</v>
      </c>
      <c r="G30" s="374"/>
    </row>
    <row r="31" spans="1:7" ht="15.75" x14ac:dyDescent="0.25">
      <c r="A31" s="374"/>
      <c r="B31" s="11"/>
      <c r="C31" s="3" t="s">
        <v>2018</v>
      </c>
      <c r="D31" s="4">
        <f>'FY2020 September Account'!F31</f>
        <v>421</v>
      </c>
      <c r="E31" s="4"/>
      <c r="F31" s="15">
        <f>(D31+E31)</f>
        <v>421</v>
      </c>
      <c r="G31" s="374"/>
    </row>
    <row r="32" spans="1:7" x14ac:dyDescent="0.25">
      <c r="A32" s="374"/>
      <c r="B32" s="16" t="s">
        <v>61</v>
      </c>
      <c r="C32" s="2"/>
      <c r="D32" s="5">
        <f>'FY2020 September Account'!F32</f>
        <v>421</v>
      </c>
      <c r="E32" s="5">
        <f>SUM(E30:E31)</f>
        <v>0</v>
      </c>
      <c r="F32" s="17">
        <f>(D32+E32)</f>
        <v>421</v>
      </c>
      <c r="G32" s="374"/>
    </row>
    <row r="33" spans="1:7" ht="15.75" x14ac:dyDescent="0.25">
      <c r="A33" s="374"/>
      <c r="B33" s="11"/>
      <c r="C33" s="1"/>
      <c r="D33" s="1"/>
      <c r="E33" s="1"/>
      <c r="F33" s="12"/>
      <c r="G33" s="374"/>
    </row>
    <row r="34" spans="1:7" x14ac:dyDescent="0.25">
      <c r="A34" s="374"/>
      <c r="B34" s="76" t="s">
        <v>62</v>
      </c>
      <c r="C34" s="77"/>
      <c r="D34" s="78">
        <f>'FY2020 September Account'!F34</f>
        <v>68028.38</v>
      </c>
      <c r="E34" s="78">
        <f>SUM(E27,E32)</f>
        <v>48127.839999999997</v>
      </c>
      <c r="F34" s="79">
        <f>(D34+E34)</f>
        <v>116156.22</v>
      </c>
      <c r="G34" s="374"/>
    </row>
    <row r="35" spans="1:7" ht="15.75" x14ac:dyDescent="0.25">
      <c r="A35" s="374"/>
      <c r="B35" s="11"/>
      <c r="C35" s="1"/>
      <c r="D35" s="1"/>
      <c r="E35" s="1"/>
      <c r="F35" s="12"/>
      <c r="G35" s="374"/>
    </row>
    <row r="36" spans="1:7" ht="15.75" x14ac:dyDescent="0.25">
      <c r="A36" s="374"/>
      <c r="B36" s="344" t="s">
        <v>169</v>
      </c>
      <c r="C36" s="345"/>
      <c r="D36" s="345"/>
      <c r="E36" s="345"/>
      <c r="F36" s="346"/>
      <c r="G36" s="374"/>
    </row>
    <row r="37" spans="1:7" ht="15.75" x14ac:dyDescent="0.25">
      <c r="A37" s="374"/>
      <c r="B37" s="11"/>
      <c r="C37" s="1"/>
      <c r="D37" s="1"/>
      <c r="E37" s="1"/>
      <c r="F37" s="12"/>
      <c r="G37" s="374"/>
    </row>
    <row r="38" spans="1:7" x14ac:dyDescent="0.25">
      <c r="A38" s="374"/>
      <c r="B38" s="66" t="s">
        <v>63</v>
      </c>
      <c r="C38" s="67"/>
      <c r="D38" s="67"/>
      <c r="E38" s="67"/>
      <c r="F38" s="68"/>
      <c r="G38" s="374"/>
    </row>
    <row r="39" spans="1:7" x14ac:dyDescent="0.25">
      <c r="A39" s="374"/>
      <c r="B39" s="18"/>
      <c r="C39" s="3"/>
      <c r="D39" s="3"/>
      <c r="E39" s="3"/>
      <c r="F39" s="19"/>
      <c r="G39" s="374"/>
    </row>
    <row r="40" spans="1:7" x14ac:dyDescent="0.25">
      <c r="A40" s="374"/>
      <c r="B40" s="13" t="s">
        <v>64</v>
      </c>
      <c r="C40" s="2"/>
      <c r="D40" s="2"/>
      <c r="E40" s="2"/>
      <c r="F40" s="14"/>
      <c r="G40" s="374"/>
    </row>
    <row r="41" spans="1:7" x14ac:dyDescent="0.25">
      <c r="A41" s="374"/>
      <c r="B41" s="20"/>
      <c r="C41" s="3" t="s">
        <v>65</v>
      </c>
      <c r="D41" s="4">
        <f>'FY2020 September Account'!F41</f>
        <v>5200</v>
      </c>
      <c r="E41" s="4">
        <f>SUMIFS(TraFY2020Oct[[ Amount]],TraFY2020Oct[[ Description]], "*ADAM SCHMIDT*", TraFY2020Oct[[ Acct Desc]], "Participant Stipends")</f>
        <v>650</v>
      </c>
      <c r="F41" s="15">
        <f>(D41-E41)</f>
        <v>4550</v>
      </c>
      <c r="G41" s="374"/>
    </row>
    <row r="42" spans="1:7" x14ac:dyDescent="0.25">
      <c r="A42" s="374"/>
      <c r="B42" s="20"/>
      <c r="C42" s="3" t="s">
        <v>66</v>
      </c>
      <c r="D42" s="4">
        <f>'FY2020 September Account'!F42</f>
        <v>3200</v>
      </c>
      <c r="E42" s="4">
        <f>SUMIFS(TraFY2020Oct[[ Amount]],TraFY2020Oct[[ Description]], "*RAEKWON L. DAVIS*", TraFY2020Oct[[ Acct Desc]], "Participant Stipends")</f>
        <v>400</v>
      </c>
      <c r="F42" s="15">
        <f t="shared" ref="F42:F49" si="0">(D42-E42)</f>
        <v>2800</v>
      </c>
      <c r="G42" s="374"/>
    </row>
    <row r="43" spans="1:7" x14ac:dyDescent="0.25">
      <c r="A43" s="374"/>
      <c r="B43" s="20"/>
      <c r="C43" s="3" t="s">
        <v>67</v>
      </c>
      <c r="D43" s="4">
        <f>'FY2020 September Account'!F43</f>
        <v>1800</v>
      </c>
      <c r="E43" s="4">
        <f>SUMIFS(TraFY2020Oct[[ Amount]],TraFY2020Oct[[ Description]], "*RYAN DUNN*", TraFY2020Oct[[ Acct Desc]], "Participant Stipends")</f>
        <v>225</v>
      </c>
      <c r="F43" s="15">
        <f t="shared" si="0"/>
        <v>1575</v>
      </c>
      <c r="G43" s="374"/>
    </row>
    <row r="44" spans="1:7" x14ac:dyDescent="0.25">
      <c r="A44" s="374"/>
      <c r="B44" s="20"/>
      <c r="C44" s="3" t="s">
        <v>68</v>
      </c>
      <c r="D44" s="4">
        <f>'FY2020 September Account'!F44</f>
        <v>1600</v>
      </c>
      <c r="E44" s="4">
        <f>SUMIFS(TraFY2020Oct[[ Amount]],TraFY2020Oct[[ Description]], "*NATHANIEL BLAKE JACOBS*", TraFY2020Oct[[ Acct Desc]], "Participant Stipends")</f>
        <v>200</v>
      </c>
      <c r="F44" s="15">
        <f t="shared" si="0"/>
        <v>1400</v>
      </c>
      <c r="G44" s="374"/>
    </row>
    <row r="45" spans="1:7" x14ac:dyDescent="0.25">
      <c r="A45" s="374"/>
      <c r="B45" s="20"/>
      <c r="C45" s="3" t="s">
        <v>69</v>
      </c>
      <c r="D45" s="4">
        <f>'FY2020 September Account'!F45</f>
        <v>1600</v>
      </c>
      <c r="E45" s="4">
        <f>SUMIFS(TraFY2020Oct[[ Amount]],TraFY2020Oct[[ Description]], "*ALYSSA FLOYD*", TraFY2020Oct[[ Acct Desc]], "Participant Stipends")</f>
        <v>200</v>
      </c>
      <c r="F45" s="15">
        <f t="shared" si="0"/>
        <v>1400</v>
      </c>
      <c r="G45" s="374"/>
    </row>
    <row r="46" spans="1:7" x14ac:dyDescent="0.25">
      <c r="A46" s="374"/>
      <c r="B46" s="20"/>
      <c r="C46" s="3" t="s">
        <v>70</v>
      </c>
      <c r="D46" s="4">
        <f>'FY2020 September Account'!F46</f>
        <v>1600</v>
      </c>
      <c r="E46" s="4">
        <f>SUMIFS(TraFY2020Oct[[ Amount]],TraFY2020Oct[[ Description]], "*OLIVIA TARPLEY*", TraFY2020Oct[[ Acct Desc]], "Participant Stipends")</f>
        <v>200</v>
      </c>
      <c r="F46" s="15">
        <f t="shared" si="0"/>
        <v>1400</v>
      </c>
      <c r="G46" s="374"/>
    </row>
    <row r="47" spans="1:7" x14ac:dyDescent="0.25">
      <c r="A47" s="374"/>
      <c r="B47" s="20"/>
      <c r="C47" s="3" t="s">
        <v>71</v>
      </c>
      <c r="D47" s="4">
        <f>'FY2020 September Account'!F47</f>
        <v>1600</v>
      </c>
      <c r="E47" s="4">
        <f>SUMIFS(TraFY2020Oct[[ Amount]],TraFY2020Oct[[ Description]], "*JACOB NEWTON*", TraFY2020Oct[[ Acct Desc]], "Participant Stipends")</f>
        <v>200</v>
      </c>
      <c r="F47" s="15">
        <f t="shared" si="0"/>
        <v>1400</v>
      </c>
      <c r="G47" s="374"/>
    </row>
    <row r="48" spans="1:7" x14ac:dyDescent="0.25">
      <c r="A48" s="374"/>
      <c r="B48" s="20"/>
      <c r="C48" s="3" t="s">
        <v>72</v>
      </c>
      <c r="D48" s="4">
        <f>'FY2020 September Account'!F48</f>
        <v>1600</v>
      </c>
      <c r="E48" s="4">
        <f>SUMIFS(TraFY2020Oct[[ Amount]],TraFY2020Oct[[ Description]], "*AVERY WALTER*", TraFY2020Oct[[ Acct Desc]], "Participant Stipends")</f>
        <v>200</v>
      </c>
      <c r="F48" s="15">
        <f t="shared" si="0"/>
        <v>1400</v>
      </c>
      <c r="G48" s="374"/>
    </row>
    <row r="49" spans="1:7" x14ac:dyDescent="0.25">
      <c r="A49" s="374"/>
      <c r="B49" s="20"/>
      <c r="C49" s="3" t="s">
        <v>73</v>
      </c>
      <c r="D49" s="4">
        <f>'FY2020 September Account'!F49</f>
        <v>1600</v>
      </c>
      <c r="E49" s="4">
        <f>SUMIFS(TraFY2020Oct[[ Amount]],TraFY2020Oct[[ Description]], "*SKYE GREGG*", TraFY2020Oct[[ Acct Desc]], "Participant Stipends")</f>
        <v>200</v>
      </c>
      <c r="F49" s="15">
        <f t="shared" si="0"/>
        <v>1400</v>
      </c>
      <c r="G49" s="374"/>
    </row>
    <row r="50" spans="1:7" x14ac:dyDescent="0.25">
      <c r="A50" s="374"/>
      <c r="B50" s="16" t="s">
        <v>74</v>
      </c>
      <c r="C50" s="2"/>
      <c r="D50" s="5">
        <f>'FY2020 September Account'!F50</f>
        <v>19800</v>
      </c>
      <c r="E50" s="6">
        <f>SUM(E41:E49)</f>
        <v>2475</v>
      </c>
      <c r="F50" s="21">
        <f>(D50-E50)</f>
        <v>17325</v>
      </c>
      <c r="G50" s="374"/>
    </row>
    <row r="51" spans="1:7" x14ac:dyDescent="0.25">
      <c r="A51" s="374"/>
      <c r="B51" s="20"/>
      <c r="C51" s="3"/>
      <c r="D51" s="3"/>
      <c r="E51" s="3"/>
      <c r="F51" s="19"/>
      <c r="G51" s="374"/>
    </row>
    <row r="52" spans="1:7" x14ac:dyDescent="0.25">
      <c r="A52" s="374"/>
      <c r="B52" s="13" t="s">
        <v>75</v>
      </c>
      <c r="C52" s="2"/>
      <c r="D52" s="2"/>
      <c r="E52" s="2"/>
      <c r="F52" s="14"/>
      <c r="G52" s="374"/>
    </row>
    <row r="53" spans="1:7" x14ac:dyDescent="0.25">
      <c r="A53" s="374"/>
      <c r="B53" s="20"/>
      <c r="C53" s="3" t="s">
        <v>76</v>
      </c>
      <c r="D53" s="4">
        <f>'FY2020 September Account'!F53</f>
        <v>39750.080000000002</v>
      </c>
      <c r="E53" s="4">
        <f>SUMIFS(TraFY2020Oct[[ Amount]],TraFY2020Oct[[ Acct Desc]], "EHRA*")</f>
        <v>4416.6400000000003</v>
      </c>
      <c r="F53" s="15">
        <f>(D53-E53)</f>
        <v>35333.440000000002</v>
      </c>
      <c r="G53" s="374"/>
    </row>
    <row r="54" spans="1:7" x14ac:dyDescent="0.25">
      <c r="A54" s="374"/>
      <c r="B54" s="20"/>
      <c r="C54" s="3" t="s">
        <v>77</v>
      </c>
      <c r="D54" s="4">
        <f>'FY2020 September Account'!F54</f>
        <v>5904.1999999999989</v>
      </c>
      <c r="E54" s="4">
        <f>SUMIFS(TraFY2020Oct[[ Amount]],TraFY2020Oct[[ Acct Desc]], "ORP-TIAA Ret*")</f>
        <v>302.10000000000002</v>
      </c>
      <c r="F54" s="15">
        <f t="shared" ref="F54:F57" si="1">(D54-E54)</f>
        <v>5602.0999999999985</v>
      </c>
      <c r="G54" s="374"/>
    </row>
    <row r="55" spans="1:7" x14ac:dyDescent="0.25">
      <c r="A55" s="374"/>
      <c r="B55" s="20"/>
      <c r="C55" s="3" t="s">
        <v>78</v>
      </c>
      <c r="D55" s="4">
        <f>'FY2020 September Account'!F55</f>
        <v>3662.9299999999994</v>
      </c>
      <c r="E55" s="4">
        <f>SUMIFS(TraFY2020Oct[[ Amount]],TraFY2020Oct[[ Acct Desc]], "ORP-TIAA Hea*") + SUMIFS(TraFY2020Oct[[ Amount]],TraFY2020Oct[[ Acct Desc]], "Medical*")</f>
        <v>652.57999999999993</v>
      </c>
      <c r="F55" s="15">
        <f t="shared" si="1"/>
        <v>3010.3499999999995</v>
      </c>
      <c r="G55" s="374"/>
    </row>
    <row r="56" spans="1:7" x14ac:dyDescent="0.25">
      <c r="A56" s="374"/>
      <c r="B56" s="20"/>
      <c r="C56" s="3" t="s">
        <v>79</v>
      </c>
      <c r="D56" s="4">
        <f>'FY2020 September Account'!F56</f>
        <v>2477.9500000000003</v>
      </c>
      <c r="E56" s="4">
        <f>SUMIFS(TraFY2020Oct[[ Amount]],TraFY2020Oct[[ Acct Desc]], "Social Security-OASDI")</f>
        <v>269.35000000000002</v>
      </c>
      <c r="F56" s="15">
        <f t="shared" si="1"/>
        <v>2208.6000000000004</v>
      </c>
      <c r="G56" s="374"/>
    </row>
    <row r="57" spans="1:7" x14ac:dyDescent="0.25">
      <c r="A57" s="374"/>
      <c r="B57" s="20"/>
      <c r="C57" s="3" t="s">
        <v>80</v>
      </c>
      <c r="D57" s="4">
        <f>'FY2020 September Account'!F57</f>
        <v>579.51</v>
      </c>
      <c r="E57" s="4">
        <f>SUMIFS(TraFY2020Oct[[ Amount]],TraFY2020Oct[[ Acct Desc]], "*Hospital Ins*")</f>
        <v>62.99</v>
      </c>
      <c r="F57" s="15">
        <f t="shared" si="1"/>
        <v>516.52</v>
      </c>
      <c r="G57" s="374"/>
    </row>
    <row r="58" spans="1:7" x14ac:dyDescent="0.25">
      <c r="A58" s="374"/>
      <c r="B58" s="16" t="s">
        <v>81</v>
      </c>
      <c r="C58" s="2"/>
      <c r="D58" s="5">
        <f>'FY2020 September Account'!F58</f>
        <v>52374.67</v>
      </c>
      <c r="E58" s="6">
        <f>SUM(E53:E57)</f>
        <v>5703.6600000000008</v>
      </c>
      <c r="F58" s="21">
        <f>(D58-E58)</f>
        <v>46671.009999999995</v>
      </c>
      <c r="G58" s="374"/>
    </row>
    <row r="59" spans="1:7" x14ac:dyDescent="0.25">
      <c r="A59" s="374"/>
      <c r="B59" s="20"/>
      <c r="C59" s="3"/>
      <c r="D59" s="3"/>
      <c r="E59" s="3"/>
      <c r="F59" s="19"/>
      <c r="G59" s="374"/>
    </row>
    <row r="60" spans="1:7" x14ac:dyDescent="0.25">
      <c r="A60" s="374"/>
      <c r="B60" s="13" t="s">
        <v>82</v>
      </c>
      <c r="C60" s="2"/>
      <c r="D60" s="2"/>
      <c r="E60" s="2"/>
      <c r="F60" s="14"/>
      <c r="G60" s="374"/>
    </row>
    <row r="61" spans="1:7" x14ac:dyDescent="0.25">
      <c r="A61" s="374"/>
      <c r="B61" s="20"/>
      <c r="C61" s="3" t="s">
        <v>83</v>
      </c>
      <c r="D61" s="4">
        <f>'FY2020 September Account'!F61</f>
        <v>17000</v>
      </c>
      <c r="E61" s="4">
        <f>SUMIFS(TraFY2020Oct[[ Amount]],TraFY2020Oct[[ Trans ID]], "*STIP_ASG*",TraFY2020Oct[[ Amount]], "125" )</f>
        <v>2125</v>
      </c>
      <c r="F61" s="15">
        <f t="shared" ref="F61" si="2">(D61-E61)</f>
        <v>14875</v>
      </c>
      <c r="G61" s="374"/>
    </row>
    <row r="62" spans="1:7" x14ac:dyDescent="0.25">
      <c r="A62" s="374"/>
      <c r="B62" s="16" t="s">
        <v>84</v>
      </c>
      <c r="C62" s="2"/>
      <c r="D62" s="5">
        <f>'FY2020 September Account'!F62</f>
        <v>17000</v>
      </c>
      <c r="E62" s="6">
        <f>SUM(E61:E61)</f>
        <v>2125</v>
      </c>
      <c r="F62" s="21">
        <f>(D62-E62)</f>
        <v>14875</v>
      </c>
      <c r="G62" s="374"/>
    </row>
    <row r="63" spans="1:7" x14ac:dyDescent="0.25">
      <c r="A63" s="374"/>
      <c r="B63" s="20"/>
      <c r="C63" s="3"/>
      <c r="D63" s="3"/>
      <c r="E63" s="3"/>
      <c r="F63" s="19"/>
      <c r="G63" s="374"/>
    </row>
    <row r="64" spans="1:7" x14ac:dyDescent="0.25">
      <c r="A64" s="374"/>
      <c r="B64" s="69" t="s">
        <v>85</v>
      </c>
      <c r="C64" s="70"/>
      <c r="D64" s="71">
        <f>'FY2020 September Account'!F64</f>
        <v>89174.670000000013</v>
      </c>
      <c r="E64" s="71">
        <f>SUM(E50, E58, E62)</f>
        <v>10303.66</v>
      </c>
      <c r="F64" s="72">
        <f>(D64-E64)</f>
        <v>78871.010000000009</v>
      </c>
      <c r="G64" s="374"/>
    </row>
    <row r="65" spans="1:7" x14ac:dyDescent="0.25">
      <c r="A65" s="374"/>
      <c r="B65" s="20"/>
      <c r="C65" s="3"/>
      <c r="D65" s="3"/>
      <c r="E65" s="3"/>
      <c r="F65" s="19"/>
      <c r="G65" s="374"/>
    </row>
    <row r="66" spans="1:7" x14ac:dyDescent="0.25">
      <c r="A66" s="374"/>
      <c r="B66" s="58" t="s">
        <v>130</v>
      </c>
      <c r="C66" s="59"/>
      <c r="D66" s="59"/>
      <c r="E66" s="59"/>
      <c r="F66" s="60"/>
      <c r="G66" s="374"/>
    </row>
    <row r="67" spans="1:7" x14ac:dyDescent="0.25">
      <c r="A67" s="374"/>
      <c r="B67" s="18"/>
      <c r="C67" s="3"/>
      <c r="D67" s="3"/>
      <c r="E67" s="3"/>
      <c r="F67" s="19"/>
      <c r="G67" s="374"/>
    </row>
    <row r="68" spans="1:7" x14ac:dyDescent="0.25">
      <c r="A68" s="374"/>
      <c r="B68" s="13" t="s">
        <v>86</v>
      </c>
      <c r="C68" s="2"/>
      <c r="D68" s="2"/>
      <c r="E68" s="2"/>
      <c r="F68" s="14"/>
      <c r="G68" s="374"/>
    </row>
    <row r="69" spans="1:7" x14ac:dyDescent="0.25">
      <c r="A69" s="374"/>
      <c r="B69" s="20"/>
      <c r="C69" s="3" t="s">
        <v>87</v>
      </c>
      <c r="D69" s="4">
        <f>'FY2020 September Account'!F69</f>
        <v>174</v>
      </c>
      <c r="E69" s="4">
        <f>SUMIFS(TraFY2020Oct[[ Amount]],TraFY2020Oct[[ Acct Desc]], "Teleph*")</f>
        <v>0</v>
      </c>
      <c r="F69" s="15">
        <f t="shared" ref="F69:F70" si="3">(D69-E69)</f>
        <v>174</v>
      </c>
      <c r="G69" s="374"/>
    </row>
    <row r="70" spans="1:7" x14ac:dyDescent="0.25">
      <c r="A70" s="374"/>
      <c r="B70" s="20"/>
      <c r="C70" s="3" t="s">
        <v>88</v>
      </c>
      <c r="D70" s="4">
        <f>'FY2020 September Account'!F70</f>
        <v>935.31999999999994</v>
      </c>
      <c r="E70" s="4">
        <f>SUMIFS(TraFY2020Oct[[ Amount]],TraFY2020Oct[[ Acct Desc]], "*Supplies*") + SUMIFS(TraFY2020Oct[[ Amount]],TraFY2020Oct[[ Acct Desc]], "*Pcard*")</f>
        <v>32.56</v>
      </c>
      <c r="F70" s="15">
        <f t="shared" si="3"/>
        <v>902.76</v>
      </c>
      <c r="G70" s="374"/>
    </row>
    <row r="71" spans="1:7" x14ac:dyDescent="0.25">
      <c r="A71" s="374"/>
      <c r="B71" s="16" t="s">
        <v>89</v>
      </c>
      <c r="C71" s="2"/>
      <c r="D71" s="5">
        <f>'FY2020 September Account'!F71</f>
        <v>1109.3200000000002</v>
      </c>
      <c r="E71" s="6">
        <f>SUM(E69:E70)</f>
        <v>32.56</v>
      </c>
      <c r="F71" s="21">
        <f>(D71-E71)</f>
        <v>1076.7600000000002</v>
      </c>
      <c r="G71" s="374"/>
    </row>
    <row r="72" spans="1:7" x14ac:dyDescent="0.25">
      <c r="A72" s="374"/>
      <c r="B72" s="20"/>
      <c r="C72" s="3"/>
      <c r="D72" s="3"/>
      <c r="E72" s="3"/>
      <c r="F72" s="19"/>
      <c r="G72" s="374"/>
    </row>
    <row r="73" spans="1:7" x14ac:dyDescent="0.25">
      <c r="A73" s="374"/>
      <c r="B73" s="13" t="s">
        <v>90</v>
      </c>
      <c r="C73" s="2"/>
      <c r="D73" s="2"/>
      <c r="E73" s="2"/>
      <c r="F73" s="14"/>
      <c r="G73" s="374"/>
    </row>
    <row r="74" spans="1:7" x14ac:dyDescent="0.25">
      <c r="A74" s="374"/>
      <c r="B74" s="20"/>
      <c r="C74" s="3" t="s">
        <v>91</v>
      </c>
      <c r="D74" s="4">
        <f>'FY2020 September Account'!F74</f>
        <v>132</v>
      </c>
      <c r="E74" s="4">
        <f>SUMIFS(TraFY2020Oct[[ Amount]],TraFY2020Oct[[ Acct Desc]], "Internet Service") + SUMIFS(TraFY2020Oct[[ Amount]],TraFY2020Oct[[ Acct Desc]], "Software Subscriptions")</f>
        <v>0</v>
      </c>
      <c r="F74" s="15">
        <f t="shared" ref="F74:F76" si="4">(D74-E74)</f>
        <v>132</v>
      </c>
      <c r="G74" s="374"/>
    </row>
    <row r="75" spans="1:7" x14ac:dyDescent="0.25">
      <c r="A75" s="374"/>
      <c r="B75" s="20"/>
      <c r="C75" s="3" t="s">
        <v>92</v>
      </c>
      <c r="D75" s="4">
        <f>'FY2020 September Account'!F75</f>
        <v>1000</v>
      </c>
      <c r="E75" s="4">
        <v>0</v>
      </c>
      <c r="F75" s="15">
        <f t="shared" si="4"/>
        <v>1000</v>
      </c>
      <c r="G75" s="374"/>
    </row>
    <row r="76" spans="1:7" x14ac:dyDescent="0.25">
      <c r="A76" s="374"/>
      <c r="B76" s="20"/>
      <c r="C76" s="3" t="s">
        <v>93</v>
      </c>
      <c r="D76" s="4">
        <f>'FY2020 September Account'!F76</f>
        <v>500</v>
      </c>
      <c r="E76" s="4">
        <v>0</v>
      </c>
      <c r="F76" s="15">
        <f t="shared" si="4"/>
        <v>500</v>
      </c>
      <c r="G76" s="374"/>
    </row>
    <row r="77" spans="1:7" x14ac:dyDescent="0.25">
      <c r="A77" s="374"/>
      <c r="B77" s="16" t="s">
        <v>94</v>
      </c>
      <c r="C77" s="2"/>
      <c r="D77" s="5">
        <f>'FY2020 September Account'!F77</f>
        <v>1632</v>
      </c>
      <c r="E77" s="6">
        <f>SUM(E74:E76)</f>
        <v>0</v>
      </c>
      <c r="F77" s="21">
        <f>(D77-E77)</f>
        <v>1632</v>
      </c>
      <c r="G77" s="374"/>
    </row>
    <row r="78" spans="1:7" x14ac:dyDescent="0.25">
      <c r="A78" s="374"/>
      <c r="B78" s="20"/>
      <c r="C78" s="3"/>
      <c r="D78" s="3"/>
      <c r="E78" s="3"/>
      <c r="F78" s="19"/>
      <c r="G78" s="374"/>
    </row>
    <row r="79" spans="1:7" x14ac:dyDescent="0.25">
      <c r="A79" s="374"/>
      <c r="B79" s="61" t="s">
        <v>95</v>
      </c>
      <c r="C79" s="62"/>
      <c r="D79" s="63">
        <f>'FY2020 September Account'!F79</f>
        <v>2741.32</v>
      </c>
      <c r="E79" s="64">
        <f>SUM(E71, E77)</f>
        <v>32.56</v>
      </c>
      <c r="F79" s="65">
        <f>(D79-E79)</f>
        <v>2708.76</v>
      </c>
      <c r="G79" s="374"/>
    </row>
    <row r="80" spans="1:7" x14ac:dyDescent="0.25">
      <c r="A80" s="374"/>
      <c r="B80" s="20"/>
      <c r="C80" s="3"/>
      <c r="D80" s="3"/>
      <c r="E80" s="3"/>
      <c r="F80" s="19"/>
      <c r="G80" s="374"/>
    </row>
    <row r="81" spans="1:7" x14ac:dyDescent="0.25">
      <c r="A81" s="374"/>
      <c r="B81" s="51" t="s">
        <v>96</v>
      </c>
      <c r="C81" s="52"/>
      <c r="D81" s="52"/>
      <c r="E81" s="52"/>
      <c r="F81" s="53"/>
      <c r="G81" s="374"/>
    </row>
    <row r="82" spans="1:7" x14ac:dyDescent="0.25">
      <c r="A82" s="374"/>
      <c r="B82" s="18"/>
      <c r="C82" s="3"/>
      <c r="D82" s="3"/>
      <c r="E82" s="3"/>
      <c r="F82" s="19"/>
      <c r="G82" s="374"/>
    </row>
    <row r="83" spans="1:7" x14ac:dyDescent="0.25">
      <c r="A83" s="374"/>
      <c r="B83" s="13" t="s">
        <v>97</v>
      </c>
      <c r="C83" s="2"/>
      <c r="D83" s="2"/>
      <c r="E83" s="2"/>
      <c r="F83" s="14"/>
      <c r="G83" s="374"/>
    </row>
    <row r="84" spans="1:7" x14ac:dyDescent="0.25">
      <c r="A84" s="374"/>
      <c r="B84" s="20"/>
      <c r="C84" s="3" t="s">
        <v>98</v>
      </c>
      <c r="D84" s="4">
        <f>'FY2020 September Account'!F84</f>
        <v>32770.92</v>
      </c>
      <c r="E84" s="4">
        <f>SUMIFS(TraFY2020Oct[[ Amount]],TraFY2020Oct[[ Acct Desc]], "*Lodging")</f>
        <v>4850.5600000000004</v>
      </c>
      <c r="F84" s="15">
        <f>(D84-E84)</f>
        <v>27920.359999999997</v>
      </c>
      <c r="G84" s="374"/>
    </row>
    <row r="85" spans="1:7" x14ac:dyDescent="0.25">
      <c r="A85" s="374"/>
      <c r="B85" s="20"/>
      <c r="C85" s="3" t="s">
        <v>99</v>
      </c>
      <c r="D85" s="4">
        <f>'FY2020 September Account'!F85</f>
        <v>16132.92</v>
      </c>
      <c r="E85" s="4">
        <f>SUMIFS(TraFY2020Oct[[ Amount]],TraFY2020Oct[[ Acct Desc]], "*Ground")</f>
        <v>1868.3000000000002</v>
      </c>
      <c r="F85" s="15">
        <f>(D85-E85)</f>
        <v>14264.619999999999</v>
      </c>
      <c r="G85" s="374"/>
    </row>
    <row r="86" spans="1:7" x14ac:dyDescent="0.25">
      <c r="A86" s="374"/>
      <c r="B86" s="20"/>
      <c r="C86" s="3" t="s">
        <v>100</v>
      </c>
      <c r="D86" s="4">
        <f>'FY2020 September Account'!F86</f>
        <v>6573.74</v>
      </c>
      <c r="E86" s="4">
        <f>SUMIFS(TraFY2020Oct[[ Amount]],TraFY2020Oct[[ Acct Desc]], "*Meetings*")</f>
        <v>0</v>
      </c>
      <c r="F86" s="15">
        <f t="shared" ref="F86" si="5">(D86-E86)</f>
        <v>6573.74</v>
      </c>
      <c r="G86" s="374"/>
    </row>
    <row r="87" spans="1:7" x14ac:dyDescent="0.25">
      <c r="A87" s="374"/>
      <c r="B87" s="16" t="s">
        <v>101</v>
      </c>
      <c r="C87" s="2"/>
      <c r="D87" s="5">
        <f>'FY2020 September Account'!F87</f>
        <v>55477.58</v>
      </c>
      <c r="E87" s="6">
        <f>SUM(E84:E86)</f>
        <v>6718.8600000000006</v>
      </c>
      <c r="F87" s="21">
        <f>(D87-E87)</f>
        <v>48758.720000000001</v>
      </c>
      <c r="G87" s="374"/>
    </row>
    <row r="88" spans="1:7" x14ac:dyDescent="0.25">
      <c r="A88" s="374"/>
      <c r="B88" s="20"/>
      <c r="C88" s="3"/>
      <c r="D88" s="3"/>
      <c r="E88" s="3"/>
      <c r="F88" s="19"/>
      <c r="G88" s="374"/>
    </row>
    <row r="89" spans="1:7" x14ac:dyDescent="0.25">
      <c r="A89" s="374"/>
      <c r="B89" s="13" t="s">
        <v>102</v>
      </c>
      <c r="C89" s="2"/>
      <c r="D89" s="2"/>
      <c r="E89" s="2"/>
      <c r="F89" s="14"/>
      <c r="G89" s="374"/>
    </row>
    <row r="90" spans="1:7" x14ac:dyDescent="0.25">
      <c r="A90" s="374"/>
      <c r="B90" s="20"/>
      <c r="C90" s="3" t="s">
        <v>103</v>
      </c>
      <c r="D90" s="4">
        <f>'FY2020 September Account'!F90</f>
        <v>3190.82</v>
      </c>
      <c r="E90" s="4">
        <v>0</v>
      </c>
      <c r="F90" s="15">
        <f t="shared" ref="F90:F92" si="6">(D90-E90)</f>
        <v>3190.82</v>
      </c>
      <c r="G90" s="374"/>
    </row>
    <row r="91" spans="1:7" x14ac:dyDescent="0.25">
      <c r="A91" s="374"/>
      <c r="B91" s="20"/>
      <c r="C91" s="3" t="s">
        <v>104</v>
      </c>
      <c r="D91" s="4">
        <f>'FY2020 September Account'!F91</f>
        <v>1000</v>
      </c>
      <c r="E91" s="4">
        <v>0</v>
      </c>
      <c r="F91" s="15">
        <f t="shared" si="6"/>
        <v>1000</v>
      </c>
      <c r="G91" s="374"/>
    </row>
    <row r="92" spans="1:7" x14ac:dyDescent="0.25">
      <c r="A92" s="374"/>
      <c r="B92" s="20"/>
      <c r="C92" s="3" t="s">
        <v>1993</v>
      </c>
      <c r="D92" s="4">
        <f>'FY2020 September Account'!F92</f>
        <v>3000</v>
      </c>
      <c r="E92" s="4">
        <v>0</v>
      </c>
      <c r="F92" s="15">
        <f t="shared" si="6"/>
        <v>3000</v>
      </c>
      <c r="G92" s="374"/>
    </row>
    <row r="93" spans="1:7" x14ac:dyDescent="0.25">
      <c r="A93" s="374"/>
      <c r="B93" s="16" t="s">
        <v>105</v>
      </c>
      <c r="C93" s="2"/>
      <c r="D93" s="5">
        <f>'FY2020 September Account'!F93</f>
        <v>7190.82</v>
      </c>
      <c r="E93" s="6">
        <f>SUM(E90:E92)</f>
        <v>0</v>
      </c>
      <c r="F93" s="21">
        <f>(D93-E93)</f>
        <v>7190.82</v>
      </c>
      <c r="G93" s="374"/>
    </row>
    <row r="94" spans="1:7" x14ac:dyDescent="0.25">
      <c r="A94" s="374"/>
      <c r="B94" s="20"/>
      <c r="C94" s="3"/>
      <c r="D94" s="3"/>
      <c r="E94" s="3"/>
      <c r="F94" s="19"/>
      <c r="G94" s="374"/>
    </row>
    <row r="95" spans="1:7" x14ac:dyDescent="0.25">
      <c r="A95" s="374"/>
      <c r="B95" s="54" t="s">
        <v>106</v>
      </c>
      <c r="C95" s="55"/>
      <c r="D95" s="56">
        <f>'FY2020 September Account'!F95</f>
        <v>62668.400000000009</v>
      </c>
      <c r="E95" s="56">
        <f>SUM(E87, E93)</f>
        <v>6718.8600000000006</v>
      </c>
      <c r="F95" s="57">
        <f>(D95-E95)</f>
        <v>55949.540000000008</v>
      </c>
      <c r="G95" s="374"/>
    </row>
    <row r="96" spans="1:7" x14ac:dyDescent="0.25">
      <c r="A96" s="374"/>
      <c r="B96" s="20"/>
      <c r="C96" s="3"/>
      <c r="D96" s="3"/>
      <c r="E96" s="3"/>
      <c r="F96" s="19"/>
      <c r="G96" s="374"/>
    </row>
    <row r="97" spans="1:7" x14ac:dyDescent="0.25">
      <c r="A97" s="374"/>
      <c r="B97" s="44" t="s">
        <v>107</v>
      </c>
      <c r="C97" s="45"/>
      <c r="D97" s="45"/>
      <c r="E97" s="45"/>
      <c r="F97" s="46"/>
      <c r="G97" s="374"/>
    </row>
    <row r="98" spans="1:7" x14ac:dyDescent="0.25">
      <c r="A98" s="374"/>
      <c r="B98" s="18"/>
      <c r="C98" s="3"/>
      <c r="D98" s="3"/>
      <c r="E98" s="3"/>
      <c r="F98" s="19"/>
      <c r="G98" s="374"/>
    </row>
    <row r="99" spans="1:7" x14ac:dyDescent="0.25">
      <c r="A99" s="374"/>
      <c r="B99" s="13" t="s">
        <v>108</v>
      </c>
      <c r="C99" s="2"/>
      <c r="D99" s="2"/>
      <c r="E99" s="2"/>
      <c r="F99" s="14"/>
      <c r="G99" s="374"/>
    </row>
    <row r="100" spans="1:7" x14ac:dyDescent="0.25">
      <c r="A100" s="374"/>
      <c r="B100" s="20"/>
      <c r="C100" s="3" t="s">
        <v>109</v>
      </c>
      <c r="D100" s="4">
        <f>'FY2020 September Account'!F100</f>
        <v>3250</v>
      </c>
      <c r="E100" s="4">
        <v>0</v>
      </c>
      <c r="F100" s="15">
        <f t="shared" ref="F100" si="7">(D100-E100)</f>
        <v>3250</v>
      </c>
      <c r="G100" s="374"/>
    </row>
    <row r="101" spans="1:7" x14ac:dyDescent="0.25">
      <c r="A101" s="374"/>
      <c r="B101" s="16" t="s">
        <v>110</v>
      </c>
      <c r="C101" s="2"/>
      <c r="D101" s="5">
        <f>'FY2020 September Account'!F101</f>
        <v>3250</v>
      </c>
      <c r="E101" s="6">
        <f>SUM(E100:E100)</f>
        <v>0</v>
      </c>
      <c r="F101" s="21">
        <f>(D101-E101)</f>
        <v>3250</v>
      </c>
      <c r="G101" s="374"/>
    </row>
    <row r="102" spans="1:7" x14ac:dyDescent="0.25">
      <c r="A102" s="374"/>
      <c r="B102" s="20"/>
      <c r="C102" s="3"/>
      <c r="D102" s="3"/>
      <c r="E102" s="3"/>
      <c r="F102" s="19"/>
      <c r="G102" s="374"/>
    </row>
    <row r="103" spans="1:7" x14ac:dyDescent="0.25">
      <c r="A103" s="374"/>
      <c r="B103" s="13" t="s">
        <v>111</v>
      </c>
      <c r="C103" s="2"/>
      <c r="D103" s="2"/>
      <c r="E103" s="2"/>
      <c r="F103" s="14"/>
      <c r="G103" s="374"/>
    </row>
    <row r="104" spans="1:7" x14ac:dyDescent="0.25">
      <c r="A104" s="374"/>
      <c r="B104" s="20"/>
      <c r="C104" s="3" t="s">
        <v>112</v>
      </c>
      <c r="D104" s="4">
        <f>'FY2020 September Account'!F104</f>
        <v>17000</v>
      </c>
      <c r="E104" s="4">
        <f>SUMIFS(TraFY2020Oct[[ Amount]],TraFY2020Oct[[ Acct Desc]], "Transfer Out*")</f>
        <v>0</v>
      </c>
      <c r="F104" s="15">
        <f t="shared" ref="F104:F105" si="8">(D104-E104)</f>
        <v>17000</v>
      </c>
      <c r="G104" s="374"/>
    </row>
    <row r="105" spans="1:7" x14ac:dyDescent="0.25">
      <c r="A105" s="374"/>
      <c r="B105" s="20"/>
      <c r="C105" s="3" t="s">
        <v>1992</v>
      </c>
      <c r="D105" s="4">
        <f>'FY2020 September Account'!F105</f>
        <v>20000</v>
      </c>
      <c r="E105" s="4">
        <v>0</v>
      </c>
      <c r="F105" s="15">
        <f t="shared" si="8"/>
        <v>20000</v>
      </c>
      <c r="G105" s="374"/>
    </row>
    <row r="106" spans="1:7" x14ac:dyDescent="0.25">
      <c r="A106" s="374"/>
      <c r="B106" s="16" t="s">
        <v>113</v>
      </c>
      <c r="C106" s="2"/>
      <c r="D106" s="5">
        <f>'FY2020 September Account'!F106</f>
        <v>37000</v>
      </c>
      <c r="E106" s="6">
        <f>SUM(E104:E105)</f>
        <v>0</v>
      </c>
      <c r="F106" s="21">
        <f>(D106-E106)</f>
        <v>37000</v>
      </c>
      <c r="G106" s="374"/>
    </row>
    <row r="107" spans="1:7" x14ac:dyDescent="0.25">
      <c r="A107" s="374"/>
      <c r="B107" s="22"/>
      <c r="C107" s="3"/>
      <c r="D107" s="3"/>
      <c r="E107" s="3"/>
      <c r="F107" s="19"/>
      <c r="G107" s="374"/>
    </row>
    <row r="108" spans="1:7" x14ac:dyDescent="0.25">
      <c r="A108" s="374"/>
      <c r="B108" s="13" t="s">
        <v>114</v>
      </c>
      <c r="C108" s="2"/>
      <c r="D108" s="2"/>
      <c r="E108" s="2"/>
      <c r="F108" s="14"/>
      <c r="G108" s="374"/>
    </row>
    <row r="109" spans="1:7" x14ac:dyDescent="0.25">
      <c r="A109" s="374"/>
      <c r="B109" s="20"/>
      <c r="C109" s="3" t="s">
        <v>115</v>
      </c>
      <c r="D109" s="4">
        <f>'FY2020 September Account'!F109</f>
        <v>2000</v>
      </c>
      <c r="E109" s="4">
        <v>0</v>
      </c>
      <c r="F109" s="15">
        <f t="shared" ref="F109" si="9">(D109-E109)</f>
        <v>2000</v>
      </c>
      <c r="G109" s="374"/>
    </row>
    <row r="110" spans="1:7" x14ac:dyDescent="0.25">
      <c r="A110" s="374"/>
      <c r="B110" s="16" t="s">
        <v>116</v>
      </c>
      <c r="C110" s="2"/>
      <c r="D110" s="5">
        <f>'FY2020 September Account'!F110</f>
        <v>2000</v>
      </c>
      <c r="E110" s="6">
        <f>SUM(E109:E109)</f>
        <v>0</v>
      </c>
      <c r="F110" s="21">
        <f>(D110-E110)</f>
        <v>2000</v>
      </c>
      <c r="G110" s="374"/>
    </row>
    <row r="111" spans="1:7" x14ac:dyDescent="0.25">
      <c r="A111" s="374"/>
      <c r="B111" s="20"/>
      <c r="C111" s="3"/>
      <c r="D111" s="3"/>
      <c r="E111" s="3"/>
      <c r="F111" s="19"/>
      <c r="G111" s="374"/>
    </row>
    <row r="112" spans="1:7" x14ac:dyDescent="0.25">
      <c r="A112" s="374"/>
      <c r="B112" s="13" t="s">
        <v>117</v>
      </c>
      <c r="C112" s="2"/>
      <c r="D112" s="2"/>
      <c r="E112" s="2"/>
      <c r="F112" s="14"/>
      <c r="G112" s="374"/>
    </row>
    <row r="113" spans="1:7" x14ac:dyDescent="0.25">
      <c r="A113" s="374"/>
      <c r="B113" s="20"/>
      <c r="C113" s="3" t="s">
        <v>118</v>
      </c>
      <c r="D113" s="4">
        <f>'FY2020 September Account'!F113</f>
        <v>4500</v>
      </c>
      <c r="E113" s="4">
        <v>0</v>
      </c>
      <c r="F113" s="15">
        <f t="shared" ref="F113:F115" si="10">(D113-E113)</f>
        <v>4500</v>
      </c>
      <c r="G113" s="374"/>
    </row>
    <row r="114" spans="1:7" x14ac:dyDescent="0.25">
      <c r="A114" s="374"/>
      <c r="B114" s="20"/>
      <c r="C114" s="3" t="s">
        <v>119</v>
      </c>
      <c r="D114" s="4">
        <f>'FY2020 September Account'!F114</f>
        <v>3000</v>
      </c>
      <c r="E114" s="4">
        <v>0</v>
      </c>
      <c r="F114" s="15">
        <f t="shared" si="10"/>
        <v>3000</v>
      </c>
      <c r="G114" s="374"/>
    </row>
    <row r="115" spans="1:7" x14ac:dyDescent="0.25">
      <c r="A115" s="374"/>
      <c r="B115" s="20"/>
      <c r="C115" s="3" t="s">
        <v>120</v>
      </c>
      <c r="D115" s="4">
        <f>'FY2020 September Account'!F115</f>
        <v>4500</v>
      </c>
      <c r="E115" s="4">
        <v>0</v>
      </c>
      <c r="F115" s="15">
        <f t="shared" si="10"/>
        <v>4500</v>
      </c>
      <c r="G115" s="374"/>
    </row>
    <row r="116" spans="1:7" x14ac:dyDescent="0.25">
      <c r="A116" s="374"/>
      <c r="B116" s="16" t="s">
        <v>121</v>
      </c>
      <c r="C116" s="2"/>
      <c r="D116" s="5">
        <f>'FY2020 September Account'!F116</f>
        <v>12000</v>
      </c>
      <c r="E116" s="6">
        <f>SUM(E113:E115)</f>
        <v>0</v>
      </c>
      <c r="F116" s="21">
        <f>(D116-E116)</f>
        <v>12000</v>
      </c>
      <c r="G116" s="374"/>
    </row>
    <row r="117" spans="1:7" x14ac:dyDescent="0.25">
      <c r="A117" s="374"/>
      <c r="B117" s="20"/>
      <c r="C117" s="3"/>
      <c r="D117" s="3"/>
      <c r="E117" s="3"/>
      <c r="F117" s="19"/>
      <c r="G117" s="374"/>
    </row>
    <row r="118" spans="1:7" x14ac:dyDescent="0.25">
      <c r="A118" s="374"/>
      <c r="B118" s="47" t="s">
        <v>167</v>
      </c>
      <c r="C118" s="48"/>
      <c r="D118" s="49">
        <f>'FY2020 September Account'!F118</f>
        <v>54250</v>
      </c>
      <c r="E118" s="49">
        <f>SUM(E101, E106, E110, E116)</f>
        <v>0</v>
      </c>
      <c r="F118" s="50">
        <f>(D118-E118)</f>
        <v>54250</v>
      </c>
      <c r="G118" s="374"/>
    </row>
    <row r="119" spans="1:7" x14ac:dyDescent="0.25">
      <c r="A119" s="374"/>
      <c r="B119" s="20"/>
      <c r="C119" s="3"/>
      <c r="D119" s="3"/>
      <c r="E119" s="3"/>
      <c r="F119" s="19"/>
      <c r="G119" s="374"/>
    </row>
    <row r="120" spans="1:7" x14ac:dyDescent="0.25">
      <c r="A120" s="374"/>
      <c r="B120" s="38" t="s">
        <v>131</v>
      </c>
      <c r="C120" s="39"/>
      <c r="D120" s="39"/>
      <c r="E120" s="39"/>
      <c r="F120" s="40"/>
      <c r="G120" s="374"/>
    </row>
    <row r="121" spans="1:7" x14ac:dyDescent="0.25">
      <c r="A121" s="374"/>
      <c r="B121" s="18"/>
      <c r="C121" s="3"/>
      <c r="D121" s="3"/>
      <c r="E121" s="3"/>
      <c r="F121" s="19"/>
      <c r="G121" s="374"/>
    </row>
    <row r="122" spans="1:7" x14ac:dyDescent="0.25">
      <c r="A122" s="374"/>
      <c r="B122" s="13" t="s">
        <v>122</v>
      </c>
      <c r="C122" s="2"/>
      <c r="D122" s="2"/>
      <c r="E122" s="2"/>
      <c r="F122" s="14"/>
      <c r="G122" s="374"/>
    </row>
    <row r="123" spans="1:7" x14ac:dyDescent="0.25">
      <c r="A123" s="374"/>
      <c r="B123" s="20"/>
      <c r="C123" s="3" t="s">
        <v>123</v>
      </c>
      <c r="D123" s="4">
        <f>'FY2020 September Account'!F123</f>
        <v>18678.830000000002</v>
      </c>
      <c r="E123" s="4">
        <f>SUMIFS(TraFY2020Oct[[ Amount]],TraFY2020Oct[[ Acct Desc]], "Fiscal Agent*")</f>
        <v>0</v>
      </c>
      <c r="F123" s="15">
        <f t="shared" ref="F123" si="11">(D123-E123)</f>
        <v>18678.830000000002</v>
      </c>
      <c r="G123" s="374"/>
    </row>
    <row r="124" spans="1:7" x14ac:dyDescent="0.25">
      <c r="A124" s="374"/>
      <c r="B124" s="16" t="s">
        <v>124</v>
      </c>
      <c r="C124" s="2"/>
      <c r="D124" s="5">
        <f>'FY2020 September Account'!F124</f>
        <v>18678.830000000002</v>
      </c>
      <c r="E124" s="6">
        <f>SUM(E123:E123)</f>
        <v>0</v>
      </c>
      <c r="F124" s="21">
        <f>(D124-E124)</f>
        <v>18678.830000000002</v>
      </c>
      <c r="G124" s="374"/>
    </row>
    <row r="125" spans="1:7" x14ac:dyDescent="0.25">
      <c r="A125" s="374"/>
      <c r="B125" s="20"/>
      <c r="C125" s="3"/>
      <c r="D125" s="3"/>
      <c r="E125" s="3"/>
      <c r="F125" s="19"/>
      <c r="G125" s="374"/>
    </row>
    <row r="126" spans="1:7" x14ac:dyDescent="0.25">
      <c r="A126" s="374"/>
      <c r="B126" s="37" t="s">
        <v>125</v>
      </c>
      <c r="C126" s="41"/>
      <c r="D126" s="42">
        <f>'FY2020 September Account'!F126</f>
        <v>18678.830000000002</v>
      </c>
      <c r="E126" s="42">
        <f>SUM(E124)</f>
        <v>0</v>
      </c>
      <c r="F126" s="43">
        <f>(D126-E126)</f>
        <v>18678.830000000002</v>
      </c>
      <c r="G126" s="374"/>
    </row>
    <row r="127" spans="1:7" x14ac:dyDescent="0.25">
      <c r="A127" s="374"/>
      <c r="B127" s="23"/>
      <c r="C127" s="7"/>
      <c r="D127" s="7"/>
      <c r="E127" s="7"/>
      <c r="F127" s="24"/>
      <c r="G127" s="374"/>
    </row>
    <row r="128" spans="1:7" x14ac:dyDescent="0.25">
      <c r="A128" s="374"/>
      <c r="B128" s="23"/>
      <c r="C128" s="7"/>
      <c r="D128" s="7"/>
      <c r="E128" s="7"/>
      <c r="F128" s="24"/>
      <c r="G128" s="374"/>
    </row>
    <row r="129" spans="1:7" ht="15.75" x14ac:dyDescent="0.25">
      <c r="A129" s="374"/>
      <c r="B129" s="25" t="s">
        <v>2272</v>
      </c>
      <c r="C129" s="8"/>
      <c r="D129" s="9"/>
      <c r="E129" s="10">
        <f>SUM(E34)</f>
        <v>48127.839999999997</v>
      </c>
      <c r="F129" s="26"/>
      <c r="G129" s="374"/>
    </row>
    <row r="130" spans="1:7" ht="15.75" x14ac:dyDescent="0.25">
      <c r="A130" s="374"/>
      <c r="B130" s="25" t="s">
        <v>2273</v>
      </c>
      <c r="C130" s="8"/>
      <c r="D130" s="9"/>
      <c r="E130" s="10">
        <f>SUM(E64, E79, E95, E118, E126)</f>
        <v>17055.080000000002</v>
      </c>
      <c r="F130" s="26"/>
      <c r="G130" s="374"/>
    </row>
    <row r="131" spans="1:7" ht="16.5" thickBot="1" x14ac:dyDescent="0.3">
      <c r="A131" s="374"/>
      <c r="B131" s="27" t="s">
        <v>2274</v>
      </c>
      <c r="C131" s="28"/>
      <c r="D131" s="29"/>
      <c r="E131" s="30">
        <f>(E129-E130)</f>
        <v>31072.759999999995</v>
      </c>
      <c r="F131" s="31"/>
      <c r="G131" s="374"/>
    </row>
    <row r="132" spans="1:7" ht="15.75" thickBot="1" x14ac:dyDescent="0.3">
      <c r="A132" s="375" t="b">
        <f>IF(($E$129+$E$130)=(SUM('FY2020 October Transactions'!E:E)),TRUE,FALSE)</f>
        <v>1</v>
      </c>
      <c r="B132" s="376"/>
      <c r="C132" s="376"/>
      <c r="D132" s="376"/>
      <c r="E132" s="376"/>
      <c r="F132" s="376"/>
      <c r="G132" s="377"/>
    </row>
    <row r="134" spans="1:7" x14ac:dyDescent="0.25">
      <c r="C134" s="93"/>
    </row>
    <row r="135" spans="1:7" x14ac:dyDescent="0.25">
      <c r="E135" s="93"/>
    </row>
    <row r="138" spans="1:7" x14ac:dyDescent="0.25">
      <c r="E138" s="93"/>
    </row>
  </sheetData>
  <mergeCells count="7">
    <mergeCell ref="A132:G132"/>
    <mergeCell ref="A1:G1"/>
    <mergeCell ref="A2:A131"/>
    <mergeCell ref="B2:F3"/>
    <mergeCell ref="G2:G131"/>
    <mergeCell ref="B6:F6"/>
    <mergeCell ref="B36:F36"/>
  </mergeCells>
  <conditionalFormatting sqref="A1">
    <cfRule type="cellIs" dxfId="425" priority="8" operator="equal">
      <formula>TRUE</formula>
    </cfRule>
  </conditionalFormatting>
  <conditionalFormatting sqref="A1:A91 G2:G91 G93:G104 A93:A104 A106:A131 G106:G131">
    <cfRule type="cellIs" dxfId="424" priority="7" operator="equal">
      <formula>FALSE</formula>
    </cfRule>
  </conditionalFormatting>
  <conditionalFormatting sqref="A132:G132 G2:G91 A2:A91 A93:A104 G93:G104 G106:G131 A106:A131">
    <cfRule type="cellIs" dxfId="423" priority="6" operator="equal">
      <formula>TRUE</formula>
    </cfRule>
  </conditionalFormatting>
  <conditionalFormatting sqref="A132:G132">
    <cfRule type="cellIs" dxfId="422" priority="5" operator="equal">
      <formula>FALSE</formula>
    </cfRule>
  </conditionalFormatting>
  <conditionalFormatting sqref="A92 G92">
    <cfRule type="cellIs" dxfId="421" priority="4" operator="equal">
      <formula>FALSE</formula>
    </cfRule>
  </conditionalFormatting>
  <conditionalFormatting sqref="G92 A92">
    <cfRule type="cellIs" dxfId="420" priority="3" operator="equal">
      <formula>TRUE</formula>
    </cfRule>
  </conditionalFormatting>
  <conditionalFormatting sqref="A105 G105">
    <cfRule type="cellIs" dxfId="419" priority="2" operator="equal">
      <formula>FALSE</formula>
    </cfRule>
  </conditionalFormatting>
  <conditionalFormatting sqref="G105 A105">
    <cfRule type="cellIs" dxfId="418" priority="1" operator="equal">
      <formula>TRUE</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9334D-1CB0-4692-B238-A17158097C18}">
  <dimension ref="A1:H66"/>
  <sheetViews>
    <sheetView topLeftCell="A22" workbookViewId="0">
      <selection activeCell="A65" sqref="A65:F65"/>
    </sheetView>
  </sheetViews>
  <sheetFormatPr defaultRowHeight="15" x14ac:dyDescent="0.25"/>
  <cols>
    <col min="1" max="1" width="10.7109375" style="36" customWidth="1"/>
    <col min="2" max="6" width="35.7109375" style="36" customWidth="1"/>
    <col min="7" max="16384" width="9.140625" style="36"/>
  </cols>
  <sheetData>
    <row r="1" spans="1:6" x14ac:dyDescent="0.25">
      <c r="A1" s="32" t="s">
        <v>0</v>
      </c>
      <c r="B1" s="32" t="s">
        <v>1</v>
      </c>
      <c r="C1" s="32" t="s">
        <v>2</v>
      </c>
      <c r="D1" s="32" t="s">
        <v>3</v>
      </c>
      <c r="E1" s="32" t="s">
        <v>4</v>
      </c>
      <c r="F1" s="33" t="s">
        <v>5</v>
      </c>
    </row>
    <row r="2" spans="1:6" ht="15.75" x14ac:dyDescent="0.25">
      <c r="A2" s="35">
        <v>526712</v>
      </c>
      <c r="B2" s="35" t="s">
        <v>14</v>
      </c>
      <c r="C2" s="35" t="s">
        <v>281</v>
      </c>
      <c r="D2" s="35" t="s">
        <v>2185</v>
      </c>
      <c r="E2" s="35">
        <v>58</v>
      </c>
      <c r="F2" s="34">
        <v>43739</v>
      </c>
    </row>
    <row r="3" spans="1:6" ht="15.75" x14ac:dyDescent="0.25">
      <c r="A3" s="35">
        <v>526712</v>
      </c>
      <c r="B3" s="35" t="s">
        <v>14</v>
      </c>
      <c r="C3" s="35" t="s">
        <v>2186</v>
      </c>
      <c r="D3" s="35" t="s">
        <v>2187</v>
      </c>
      <c r="E3" s="35">
        <v>84.48</v>
      </c>
      <c r="F3" s="34">
        <v>43739</v>
      </c>
    </row>
    <row r="4" spans="1:6" ht="15.75" x14ac:dyDescent="0.25">
      <c r="A4" s="35">
        <v>526712</v>
      </c>
      <c r="B4" s="35" t="s">
        <v>14</v>
      </c>
      <c r="C4" s="35" t="s">
        <v>15</v>
      </c>
      <c r="D4" s="35" t="s">
        <v>2188</v>
      </c>
      <c r="E4" s="35">
        <v>58</v>
      </c>
      <c r="F4" s="34">
        <v>43739</v>
      </c>
    </row>
    <row r="5" spans="1:6" ht="15.75" x14ac:dyDescent="0.25">
      <c r="A5" s="35">
        <v>487110</v>
      </c>
      <c r="B5" s="35" t="s">
        <v>36</v>
      </c>
      <c r="C5" s="35" t="s">
        <v>2190</v>
      </c>
      <c r="D5" s="35" t="s">
        <v>2191</v>
      </c>
      <c r="E5" s="35">
        <v>1471.31</v>
      </c>
      <c r="F5" s="34">
        <v>43739</v>
      </c>
    </row>
    <row r="6" spans="1:6" ht="15.75" x14ac:dyDescent="0.25">
      <c r="A6" s="35">
        <v>487110</v>
      </c>
      <c r="B6" s="35" t="s">
        <v>36</v>
      </c>
      <c r="C6" s="35" t="s">
        <v>2192</v>
      </c>
      <c r="D6" s="35" t="s">
        <v>2191</v>
      </c>
      <c r="E6" s="35">
        <v>11699.57</v>
      </c>
      <c r="F6" s="34">
        <v>43739</v>
      </c>
    </row>
    <row r="7" spans="1:6" ht="15.75" x14ac:dyDescent="0.25">
      <c r="A7" s="35">
        <v>487110</v>
      </c>
      <c r="B7" s="35" t="s">
        <v>36</v>
      </c>
      <c r="C7" s="35"/>
      <c r="D7" s="35" t="s">
        <v>2193</v>
      </c>
      <c r="E7" s="35">
        <v>5359.65</v>
      </c>
      <c r="F7" s="34">
        <v>43740</v>
      </c>
    </row>
    <row r="8" spans="1:6" ht="15.75" x14ac:dyDescent="0.25">
      <c r="A8" s="35">
        <v>487110</v>
      </c>
      <c r="B8" s="35" t="s">
        <v>36</v>
      </c>
      <c r="C8" s="35" t="s">
        <v>2194</v>
      </c>
      <c r="D8" s="35" t="s">
        <v>2195</v>
      </c>
      <c r="E8" s="35">
        <v>1056</v>
      </c>
      <c r="F8" s="34">
        <v>43741</v>
      </c>
    </row>
    <row r="9" spans="1:6" ht="15.75" x14ac:dyDescent="0.25">
      <c r="A9" s="35">
        <v>531110</v>
      </c>
      <c r="B9" s="35" t="s">
        <v>27</v>
      </c>
      <c r="C9" s="35" t="s">
        <v>28</v>
      </c>
      <c r="D9" s="35" t="s">
        <v>2196</v>
      </c>
      <c r="E9" s="35">
        <v>7.58</v>
      </c>
      <c r="F9" s="34">
        <v>43742</v>
      </c>
    </row>
    <row r="10" spans="1:6" ht="15.75" x14ac:dyDescent="0.25">
      <c r="A10" s="35">
        <v>531110</v>
      </c>
      <c r="B10" s="35" t="s">
        <v>27</v>
      </c>
      <c r="C10" s="35" t="s">
        <v>263</v>
      </c>
      <c r="D10" s="35" t="s">
        <v>2197</v>
      </c>
      <c r="E10" s="35">
        <v>24.98</v>
      </c>
      <c r="F10" s="34">
        <v>43747</v>
      </c>
    </row>
    <row r="11" spans="1:6" ht="15.75" x14ac:dyDescent="0.25">
      <c r="A11" s="35">
        <v>487110</v>
      </c>
      <c r="B11" s="35" t="s">
        <v>36</v>
      </c>
      <c r="C11" s="35" t="s">
        <v>2198</v>
      </c>
      <c r="D11" s="35" t="s">
        <v>2199</v>
      </c>
      <c r="E11" s="35">
        <v>14390.57</v>
      </c>
      <c r="F11" s="34">
        <v>43749</v>
      </c>
    </row>
    <row r="12" spans="1:6" ht="15.75" x14ac:dyDescent="0.25">
      <c r="A12" s="35">
        <v>487110</v>
      </c>
      <c r="B12" s="35" t="s">
        <v>36</v>
      </c>
      <c r="C12" s="35" t="s">
        <v>2200</v>
      </c>
      <c r="D12" s="35" t="s">
        <v>2201</v>
      </c>
      <c r="E12" s="35">
        <v>6827</v>
      </c>
      <c r="F12" s="34">
        <v>43754</v>
      </c>
    </row>
    <row r="13" spans="1:6" ht="15.75" x14ac:dyDescent="0.25">
      <c r="A13" s="35">
        <v>558979</v>
      </c>
      <c r="B13" s="35" t="s">
        <v>150</v>
      </c>
      <c r="C13" s="35" t="s">
        <v>1493</v>
      </c>
      <c r="D13" s="35" t="s">
        <v>2202</v>
      </c>
      <c r="E13" s="35">
        <v>200</v>
      </c>
      <c r="F13" s="34">
        <v>43760</v>
      </c>
    </row>
    <row r="14" spans="1:6" ht="15.75" x14ac:dyDescent="0.25">
      <c r="A14" s="35">
        <v>558979</v>
      </c>
      <c r="B14" s="35" t="s">
        <v>150</v>
      </c>
      <c r="C14" s="35" t="s">
        <v>2203</v>
      </c>
      <c r="D14" s="35" t="s">
        <v>2204</v>
      </c>
      <c r="E14" s="35">
        <v>125</v>
      </c>
      <c r="F14" s="34">
        <v>43760</v>
      </c>
    </row>
    <row r="15" spans="1:6" ht="15.75" x14ac:dyDescent="0.25">
      <c r="A15" s="35">
        <v>558979</v>
      </c>
      <c r="B15" s="35" t="s">
        <v>150</v>
      </c>
      <c r="C15" s="35" t="s">
        <v>2163</v>
      </c>
      <c r="D15" s="35" t="s">
        <v>2205</v>
      </c>
      <c r="E15" s="35">
        <v>125</v>
      </c>
      <c r="F15" s="34">
        <v>43760</v>
      </c>
    </row>
    <row r="16" spans="1:6" ht="15.75" x14ac:dyDescent="0.25">
      <c r="A16" s="35">
        <v>558979</v>
      </c>
      <c r="B16" s="35" t="s">
        <v>150</v>
      </c>
      <c r="C16" s="35" t="s">
        <v>2206</v>
      </c>
      <c r="D16" s="35" t="s">
        <v>2207</v>
      </c>
      <c r="E16" s="35">
        <v>125</v>
      </c>
      <c r="F16" s="34">
        <v>43760</v>
      </c>
    </row>
    <row r="17" spans="1:6" ht="15.75" x14ac:dyDescent="0.25">
      <c r="A17" s="35">
        <v>558979</v>
      </c>
      <c r="B17" s="35" t="s">
        <v>150</v>
      </c>
      <c r="C17" s="35" t="s">
        <v>2208</v>
      </c>
      <c r="D17" s="35" t="s">
        <v>2209</v>
      </c>
      <c r="E17" s="35">
        <v>125</v>
      </c>
      <c r="F17" s="34">
        <v>43760</v>
      </c>
    </row>
    <row r="18" spans="1:6" ht="15.75" x14ac:dyDescent="0.25">
      <c r="A18" s="35">
        <v>558979</v>
      </c>
      <c r="B18" s="35" t="s">
        <v>150</v>
      </c>
      <c r="C18" s="35" t="s">
        <v>1410</v>
      </c>
      <c r="D18" s="35" t="s">
        <v>2210</v>
      </c>
      <c r="E18" s="35">
        <v>200</v>
      </c>
      <c r="F18" s="34">
        <v>43760</v>
      </c>
    </row>
    <row r="19" spans="1:6" ht="15.75" x14ac:dyDescent="0.25">
      <c r="A19" s="35">
        <v>558979</v>
      </c>
      <c r="B19" s="35" t="s">
        <v>150</v>
      </c>
      <c r="C19" s="35" t="s">
        <v>2211</v>
      </c>
      <c r="D19" s="35" t="s">
        <v>2212</v>
      </c>
      <c r="E19" s="35">
        <v>125</v>
      </c>
      <c r="F19" s="34">
        <v>43760</v>
      </c>
    </row>
    <row r="20" spans="1:6" ht="15.75" x14ac:dyDescent="0.25">
      <c r="A20" s="35">
        <v>558979</v>
      </c>
      <c r="B20" s="35" t="s">
        <v>150</v>
      </c>
      <c r="C20" s="35" t="s">
        <v>21</v>
      </c>
      <c r="D20" s="35" t="s">
        <v>2213</v>
      </c>
      <c r="E20" s="35">
        <v>200</v>
      </c>
      <c r="F20" s="34">
        <v>43760</v>
      </c>
    </row>
    <row r="21" spans="1:6" ht="15.75" x14ac:dyDescent="0.25">
      <c r="A21" s="35">
        <v>558979</v>
      </c>
      <c r="B21" s="35" t="s">
        <v>150</v>
      </c>
      <c r="C21" s="35" t="s">
        <v>2214</v>
      </c>
      <c r="D21" s="35" t="s">
        <v>2215</v>
      </c>
      <c r="E21" s="35">
        <v>125</v>
      </c>
      <c r="F21" s="34">
        <v>43760</v>
      </c>
    </row>
    <row r="22" spans="1:6" ht="15.75" x14ac:dyDescent="0.25">
      <c r="A22" s="35">
        <v>558979</v>
      </c>
      <c r="B22" s="35" t="s">
        <v>150</v>
      </c>
      <c r="C22" s="35" t="s">
        <v>2216</v>
      </c>
      <c r="D22" s="35" t="s">
        <v>2217</v>
      </c>
      <c r="E22" s="35">
        <v>125</v>
      </c>
      <c r="F22" s="34">
        <v>43760</v>
      </c>
    </row>
    <row r="23" spans="1:6" ht="15.75" x14ac:dyDescent="0.25">
      <c r="A23" s="35">
        <v>558979</v>
      </c>
      <c r="B23" s="35" t="s">
        <v>150</v>
      </c>
      <c r="C23" s="35" t="s">
        <v>2002</v>
      </c>
      <c r="D23" s="35" t="s">
        <v>2218</v>
      </c>
      <c r="E23" s="35">
        <v>225</v>
      </c>
      <c r="F23" s="34">
        <v>43760</v>
      </c>
    </row>
    <row r="24" spans="1:6" ht="15.75" x14ac:dyDescent="0.25">
      <c r="A24" s="35">
        <v>558979</v>
      </c>
      <c r="B24" s="35" t="s">
        <v>150</v>
      </c>
      <c r="C24" s="35" t="s">
        <v>15</v>
      </c>
      <c r="D24" s="35" t="s">
        <v>2219</v>
      </c>
      <c r="E24" s="35">
        <v>200</v>
      </c>
      <c r="F24" s="34">
        <v>43760</v>
      </c>
    </row>
    <row r="25" spans="1:6" ht="15.75" x14ac:dyDescent="0.25">
      <c r="A25" s="35">
        <v>558979</v>
      </c>
      <c r="B25" s="35" t="s">
        <v>150</v>
      </c>
      <c r="C25" s="35" t="s">
        <v>2220</v>
      </c>
      <c r="D25" s="35" t="s">
        <v>2221</v>
      </c>
      <c r="E25" s="35">
        <v>125</v>
      </c>
      <c r="F25" s="34">
        <v>43760</v>
      </c>
    </row>
    <row r="26" spans="1:6" ht="15.75" x14ac:dyDescent="0.25">
      <c r="A26" s="35">
        <v>558979</v>
      </c>
      <c r="B26" s="35" t="s">
        <v>150</v>
      </c>
      <c r="C26" s="35" t="s">
        <v>2222</v>
      </c>
      <c r="D26" s="35" t="s">
        <v>2223</v>
      </c>
      <c r="E26" s="35">
        <v>125</v>
      </c>
      <c r="F26" s="34">
        <v>43760</v>
      </c>
    </row>
    <row r="27" spans="1:6" ht="15.75" x14ac:dyDescent="0.25">
      <c r="A27" s="35">
        <v>558979</v>
      </c>
      <c r="B27" s="35" t="s">
        <v>150</v>
      </c>
      <c r="C27" s="35" t="s">
        <v>2224</v>
      </c>
      <c r="D27" s="35" t="s">
        <v>2225</v>
      </c>
      <c r="E27" s="35">
        <v>125</v>
      </c>
      <c r="F27" s="34">
        <v>43760</v>
      </c>
    </row>
    <row r="28" spans="1:6" ht="15.75" x14ac:dyDescent="0.25">
      <c r="A28" s="35">
        <v>558979</v>
      </c>
      <c r="B28" s="35" t="s">
        <v>150</v>
      </c>
      <c r="C28" s="35" t="s">
        <v>1431</v>
      </c>
      <c r="D28" s="35" t="s">
        <v>2226</v>
      </c>
      <c r="E28" s="35">
        <v>200</v>
      </c>
      <c r="F28" s="34">
        <v>43760</v>
      </c>
    </row>
    <row r="29" spans="1:6" ht="15.75" x14ac:dyDescent="0.25">
      <c r="A29" s="35">
        <v>558979</v>
      </c>
      <c r="B29" s="35" t="s">
        <v>150</v>
      </c>
      <c r="C29" s="35" t="s">
        <v>2227</v>
      </c>
      <c r="D29" s="35" t="s">
        <v>2228</v>
      </c>
      <c r="E29" s="35">
        <v>125</v>
      </c>
      <c r="F29" s="34">
        <v>43760</v>
      </c>
    </row>
    <row r="30" spans="1:6" ht="15.75" x14ac:dyDescent="0.25">
      <c r="A30" s="35">
        <v>558979</v>
      </c>
      <c r="B30" s="35" t="s">
        <v>150</v>
      </c>
      <c r="C30" s="35" t="s">
        <v>2229</v>
      </c>
      <c r="D30" s="35" t="s">
        <v>2230</v>
      </c>
      <c r="E30" s="35">
        <v>125</v>
      </c>
      <c r="F30" s="34">
        <v>43760</v>
      </c>
    </row>
    <row r="31" spans="1:6" ht="15.75" x14ac:dyDescent="0.25">
      <c r="A31" s="35">
        <v>558979</v>
      </c>
      <c r="B31" s="35" t="s">
        <v>150</v>
      </c>
      <c r="C31" s="35" t="s">
        <v>1531</v>
      </c>
      <c r="D31" s="35" t="s">
        <v>2231</v>
      </c>
      <c r="E31" s="35">
        <v>200</v>
      </c>
      <c r="F31" s="34">
        <v>43760</v>
      </c>
    </row>
    <row r="32" spans="1:6" ht="15.75" x14ac:dyDescent="0.25">
      <c r="A32" s="35">
        <v>558979</v>
      </c>
      <c r="B32" s="35" t="s">
        <v>150</v>
      </c>
      <c r="C32" s="35" t="s">
        <v>2186</v>
      </c>
      <c r="D32" s="35" t="s">
        <v>2232</v>
      </c>
      <c r="E32" s="35">
        <v>125</v>
      </c>
      <c r="F32" s="34">
        <v>43760</v>
      </c>
    </row>
    <row r="33" spans="1:6" ht="15.75" x14ac:dyDescent="0.25">
      <c r="A33" s="35">
        <v>558979</v>
      </c>
      <c r="B33" s="35" t="s">
        <v>150</v>
      </c>
      <c r="C33" s="35" t="s">
        <v>2233</v>
      </c>
      <c r="D33" s="35" t="s">
        <v>2234</v>
      </c>
      <c r="E33" s="35">
        <v>125</v>
      </c>
      <c r="F33" s="34">
        <v>43760</v>
      </c>
    </row>
    <row r="34" spans="1:6" ht="15.75" x14ac:dyDescent="0.25">
      <c r="A34" s="35">
        <v>558979</v>
      </c>
      <c r="B34" s="35" t="s">
        <v>150</v>
      </c>
      <c r="C34" s="35" t="s">
        <v>1304</v>
      </c>
      <c r="D34" s="35" t="s">
        <v>2235</v>
      </c>
      <c r="E34" s="35">
        <v>400</v>
      </c>
      <c r="F34" s="34">
        <v>43760</v>
      </c>
    </row>
    <row r="35" spans="1:6" ht="15.75" x14ac:dyDescent="0.25">
      <c r="A35" s="35">
        <v>558979</v>
      </c>
      <c r="B35" s="35" t="s">
        <v>150</v>
      </c>
      <c r="C35" s="35" t="s">
        <v>2236</v>
      </c>
      <c r="D35" s="35" t="s">
        <v>2237</v>
      </c>
      <c r="E35" s="35">
        <v>125</v>
      </c>
      <c r="F35" s="34">
        <v>43760</v>
      </c>
    </row>
    <row r="36" spans="1:6" ht="15.75" x14ac:dyDescent="0.25">
      <c r="A36" s="35">
        <v>558979</v>
      </c>
      <c r="B36" s="35" t="s">
        <v>150</v>
      </c>
      <c r="C36" s="35" t="s">
        <v>281</v>
      </c>
      <c r="D36" s="35" t="s">
        <v>2238</v>
      </c>
      <c r="E36" s="35">
        <v>650</v>
      </c>
      <c r="F36" s="34">
        <v>43760</v>
      </c>
    </row>
    <row r="37" spans="1:6" ht="15.75" x14ac:dyDescent="0.25">
      <c r="A37" s="35">
        <v>558979</v>
      </c>
      <c r="B37" s="35" t="s">
        <v>150</v>
      </c>
      <c r="C37" s="35" t="s">
        <v>2157</v>
      </c>
      <c r="D37" s="35" t="s">
        <v>2239</v>
      </c>
      <c r="E37" s="35">
        <v>125</v>
      </c>
      <c r="F37" s="34">
        <v>43760</v>
      </c>
    </row>
    <row r="38" spans="1:6" ht="15.75" x14ac:dyDescent="0.25">
      <c r="A38" s="35">
        <v>558979</v>
      </c>
      <c r="B38" s="35" t="s">
        <v>150</v>
      </c>
      <c r="C38" s="35" t="s">
        <v>1533</v>
      </c>
      <c r="D38" s="35" t="s">
        <v>2240</v>
      </c>
      <c r="E38" s="35">
        <v>125</v>
      </c>
      <c r="F38" s="34">
        <v>43760</v>
      </c>
    </row>
    <row r="39" spans="1:6" ht="15.75" x14ac:dyDescent="0.25">
      <c r="A39" s="35">
        <v>526712</v>
      </c>
      <c r="B39" s="35" t="s">
        <v>14</v>
      </c>
      <c r="C39" s="35" t="s">
        <v>2002</v>
      </c>
      <c r="D39" s="35" t="s">
        <v>2241</v>
      </c>
      <c r="E39" s="35">
        <v>56.76</v>
      </c>
      <c r="F39" s="34">
        <v>43761</v>
      </c>
    </row>
    <row r="40" spans="1:6" ht="15.75" x14ac:dyDescent="0.25">
      <c r="A40" s="35">
        <v>526712</v>
      </c>
      <c r="B40" s="35" t="s">
        <v>14</v>
      </c>
      <c r="C40" s="35" t="s">
        <v>15</v>
      </c>
      <c r="D40" s="35" t="s">
        <v>2242</v>
      </c>
      <c r="E40" s="35">
        <v>73.260000000000005</v>
      </c>
      <c r="F40" s="34">
        <v>43761</v>
      </c>
    </row>
    <row r="41" spans="1:6" ht="15.75" x14ac:dyDescent="0.25">
      <c r="A41" s="35">
        <v>526712</v>
      </c>
      <c r="B41" s="35" t="s">
        <v>14</v>
      </c>
      <c r="C41" s="35" t="s">
        <v>1304</v>
      </c>
      <c r="D41" s="35" t="s">
        <v>2243</v>
      </c>
      <c r="E41" s="35">
        <v>71.94</v>
      </c>
      <c r="F41" s="34">
        <v>43761</v>
      </c>
    </row>
    <row r="42" spans="1:6" ht="15.75" x14ac:dyDescent="0.25">
      <c r="A42" s="35">
        <v>487110</v>
      </c>
      <c r="B42" s="35" t="s">
        <v>36</v>
      </c>
      <c r="C42" s="35" t="s">
        <v>2244</v>
      </c>
      <c r="D42" s="35" t="s">
        <v>2245</v>
      </c>
      <c r="E42" s="35">
        <v>588.70000000000005</v>
      </c>
      <c r="F42" s="34">
        <v>43761</v>
      </c>
    </row>
    <row r="43" spans="1:6" ht="15.75" x14ac:dyDescent="0.25">
      <c r="A43" s="35">
        <v>487110</v>
      </c>
      <c r="B43" s="35" t="s">
        <v>36</v>
      </c>
      <c r="C43" s="35" t="s">
        <v>2246</v>
      </c>
      <c r="D43" s="35" t="s">
        <v>2245</v>
      </c>
      <c r="E43" s="35">
        <v>500.82</v>
      </c>
      <c r="F43" s="34">
        <v>43761</v>
      </c>
    </row>
    <row r="44" spans="1:6" ht="15.75" x14ac:dyDescent="0.25">
      <c r="A44" s="35">
        <v>487110</v>
      </c>
      <c r="B44" s="35" t="s">
        <v>36</v>
      </c>
      <c r="C44" s="35" t="s">
        <v>2247</v>
      </c>
      <c r="D44" s="35" t="s">
        <v>2245</v>
      </c>
      <c r="E44" s="35">
        <v>3377.7</v>
      </c>
      <c r="F44" s="34">
        <v>43761</v>
      </c>
    </row>
    <row r="45" spans="1:6" ht="15.75" x14ac:dyDescent="0.25">
      <c r="A45" s="35">
        <v>526712</v>
      </c>
      <c r="B45" s="35" t="s">
        <v>14</v>
      </c>
      <c r="C45" s="35" t="s">
        <v>2165</v>
      </c>
      <c r="D45" s="35" t="s">
        <v>2248</v>
      </c>
      <c r="E45" s="35">
        <v>124.08</v>
      </c>
      <c r="F45" s="34">
        <v>43762</v>
      </c>
    </row>
    <row r="46" spans="1:6" ht="15.75" x14ac:dyDescent="0.25">
      <c r="A46" s="35">
        <v>526712</v>
      </c>
      <c r="B46" s="35" t="s">
        <v>14</v>
      </c>
      <c r="C46" s="35" t="s">
        <v>21</v>
      </c>
      <c r="D46" s="35" t="s">
        <v>2249</v>
      </c>
      <c r="E46" s="35">
        <v>105.6</v>
      </c>
      <c r="F46" s="34">
        <v>43762</v>
      </c>
    </row>
    <row r="47" spans="1:6" ht="15.75" x14ac:dyDescent="0.25">
      <c r="A47" s="35">
        <v>526712</v>
      </c>
      <c r="B47" s="35" t="s">
        <v>14</v>
      </c>
      <c r="C47" s="35" t="s">
        <v>2250</v>
      </c>
      <c r="D47" s="35" t="s">
        <v>2251</v>
      </c>
      <c r="E47" s="35">
        <v>73.92</v>
      </c>
      <c r="F47" s="34">
        <v>43762</v>
      </c>
    </row>
    <row r="48" spans="1:6" ht="15.75" x14ac:dyDescent="0.25">
      <c r="A48" s="35">
        <v>526712</v>
      </c>
      <c r="B48" s="35" t="s">
        <v>14</v>
      </c>
      <c r="C48" s="35" t="s">
        <v>2163</v>
      </c>
      <c r="D48" s="35" t="s">
        <v>2252</v>
      </c>
      <c r="E48" s="35">
        <v>178.86</v>
      </c>
      <c r="F48" s="34">
        <v>43762</v>
      </c>
    </row>
    <row r="49" spans="1:6" ht="15.75" x14ac:dyDescent="0.25">
      <c r="A49" s="35">
        <v>526712</v>
      </c>
      <c r="B49" s="35" t="s">
        <v>14</v>
      </c>
      <c r="C49" s="35" t="s">
        <v>2026</v>
      </c>
      <c r="D49" s="35" t="s">
        <v>2253</v>
      </c>
      <c r="E49" s="35">
        <v>105.6</v>
      </c>
      <c r="F49" s="34">
        <v>43762</v>
      </c>
    </row>
    <row r="50" spans="1:6" ht="15.75" x14ac:dyDescent="0.25">
      <c r="A50" s="35">
        <v>526712</v>
      </c>
      <c r="B50" s="35" t="s">
        <v>14</v>
      </c>
      <c r="C50" s="35" t="s">
        <v>19</v>
      </c>
      <c r="D50" s="35" t="s">
        <v>2254</v>
      </c>
      <c r="E50" s="35">
        <v>158.4</v>
      </c>
      <c r="F50" s="34">
        <v>43762</v>
      </c>
    </row>
    <row r="51" spans="1:6" ht="15.75" x14ac:dyDescent="0.25">
      <c r="A51" s="35">
        <v>526712</v>
      </c>
      <c r="B51" s="35" t="s">
        <v>14</v>
      </c>
      <c r="C51" s="35" t="s">
        <v>2157</v>
      </c>
      <c r="D51" s="35" t="s">
        <v>2255</v>
      </c>
      <c r="E51" s="35">
        <v>60.72</v>
      </c>
      <c r="F51" s="34">
        <v>43762</v>
      </c>
    </row>
    <row r="52" spans="1:6" ht="15.75" x14ac:dyDescent="0.25">
      <c r="A52" s="35">
        <v>526712</v>
      </c>
      <c r="B52" s="35" t="s">
        <v>14</v>
      </c>
      <c r="C52" s="35" t="s">
        <v>2256</v>
      </c>
      <c r="D52" s="35" t="s">
        <v>2257</v>
      </c>
      <c r="E52" s="35">
        <v>122.76</v>
      </c>
      <c r="F52" s="34">
        <v>43762</v>
      </c>
    </row>
    <row r="53" spans="1:6" ht="15.75" x14ac:dyDescent="0.25">
      <c r="A53" s="35">
        <v>526712</v>
      </c>
      <c r="B53" s="35" t="s">
        <v>14</v>
      </c>
      <c r="C53" s="35" t="s">
        <v>1431</v>
      </c>
      <c r="D53" s="35" t="s">
        <v>2258</v>
      </c>
      <c r="E53" s="35">
        <v>56.76</v>
      </c>
      <c r="F53" s="34">
        <v>43762</v>
      </c>
    </row>
    <row r="54" spans="1:6" ht="15.75" x14ac:dyDescent="0.25">
      <c r="A54" s="35">
        <v>526712</v>
      </c>
      <c r="B54" s="35" t="s">
        <v>14</v>
      </c>
      <c r="C54" s="35" t="s">
        <v>281</v>
      </c>
      <c r="D54" s="35" t="s">
        <v>2259</v>
      </c>
      <c r="E54" s="35">
        <v>56.76</v>
      </c>
      <c r="F54" s="34">
        <v>43762</v>
      </c>
    </row>
    <row r="55" spans="1:6" ht="15.75" x14ac:dyDescent="0.25">
      <c r="A55" s="35">
        <v>526712</v>
      </c>
      <c r="B55" s="35" t="s">
        <v>14</v>
      </c>
      <c r="C55" s="35" t="s">
        <v>1531</v>
      </c>
      <c r="D55" s="35" t="s">
        <v>2260</v>
      </c>
      <c r="E55" s="35">
        <v>73.260000000000005</v>
      </c>
      <c r="F55" s="34">
        <v>43763</v>
      </c>
    </row>
    <row r="56" spans="1:6" ht="15.75" x14ac:dyDescent="0.25">
      <c r="A56" s="35">
        <v>526712</v>
      </c>
      <c r="B56" s="35" t="s">
        <v>14</v>
      </c>
      <c r="C56" s="35" t="s">
        <v>2261</v>
      </c>
      <c r="D56" s="35" t="s">
        <v>2262</v>
      </c>
      <c r="E56" s="35">
        <v>99.66</v>
      </c>
      <c r="F56" s="34">
        <v>43763</v>
      </c>
    </row>
    <row r="57" spans="1:6" ht="15.75" x14ac:dyDescent="0.25">
      <c r="A57" s="35">
        <v>526712</v>
      </c>
      <c r="B57" s="35" t="s">
        <v>14</v>
      </c>
      <c r="C57" s="35" t="s">
        <v>2080</v>
      </c>
      <c r="D57" s="35" t="s">
        <v>2263</v>
      </c>
      <c r="E57" s="35">
        <v>249.48</v>
      </c>
      <c r="F57" s="34">
        <v>43763</v>
      </c>
    </row>
    <row r="58" spans="1:6" ht="15.75" x14ac:dyDescent="0.25">
      <c r="A58" s="35">
        <v>487110</v>
      </c>
      <c r="B58" s="35" t="s">
        <v>36</v>
      </c>
      <c r="C58" s="35" t="s">
        <v>2264</v>
      </c>
      <c r="D58" s="35" t="s">
        <v>2265</v>
      </c>
      <c r="E58" s="35">
        <v>2387.16</v>
      </c>
      <c r="F58" s="34">
        <v>43763</v>
      </c>
    </row>
    <row r="59" spans="1:6" ht="15.75" x14ac:dyDescent="0.25">
      <c r="A59" s="35">
        <v>511120</v>
      </c>
      <c r="B59" s="35" t="s">
        <v>6</v>
      </c>
      <c r="C59" s="35" t="s">
        <v>7</v>
      </c>
      <c r="D59" s="35" t="s">
        <v>2266</v>
      </c>
      <c r="E59" s="35">
        <v>4416.6400000000003</v>
      </c>
      <c r="F59" s="34">
        <v>43769</v>
      </c>
    </row>
    <row r="60" spans="1:6" ht="15.75" x14ac:dyDescent="0.25">
      <c r="A60" s="35">
        <v>515120</v>
      </c>
      <c r="B60" s="35" t="s">
        <v>9</v>
      </c>
      <c r="C60" s="35" t="s">
        <v>7</v>
      </c>
      <c r="D60" s="35" t="s">
        <v>2266</v>
      </c>
      <c r="E60" s="35">
        <v>269.35000000000002</v>
      </c>
      <c r="F60" s="34">
        <v>43769</v>
      </c>
    </row>
    <row r="61" spans="1:6" ht="15.75" x14ac:dyDescent="0.25">
      <c r="A61" s="35">
        <v>515130</v>
      </c>
      <c r="B61" s="35" t="s">
        <v>10</v>
      </c>
      <c r="C61" s="35" t="s">
        <v>7</v>
      </c>
      <c r="D61" s="35" t="s">
        <v>2266</v>
      </c>
      <c r="E61" s="35">
        <v>62.99</v>
      </c>
      <c r="F61" s="34">
        <v>43769</v>
      </c>
    </row>
    <row r="62" spans="1:6" ht="15.75" x14ac:dyDescent="0.25">
      <c r="A62" s="35">
        <v>515410</v>
      </c>
      <c r="B62" s="35" t="s">
        <v>11</v>
      </c>
      <c r="C62" s="35" t="s">
        <v>7</v>
      </c>
      <c r="D62" s="35" t="s">
        <v>2266</v>
      </c>
      <c r="E62" s="35">
        <v>302.10000000000002</v>
      </c>
      <c r="F62" s="34">
        <v>43769</v>
      </c>
    </row>
    <row r="63" spans="1:6" ht="15.75" x14ac:dyDescent="0.25">
      <c r="A63" s="35">
        <v>515420</v>
      </c>
      <c r="B63" s="35" t="s">
        <v>12</v>
      </c>
      <c r="C63" s="35" t="s">
        <v>7</v>
      </c>
      <c r="D63" s="35" t="s">
        <v>2266</v>
      </c>
      <c r="E63" s="35">
        <v>304.3</v>
      </c>
      <c r="F63" s="34">
        <v>43769</v>
      </c>
    </row>
    <row r="64" spans="1:6" ht="15.75" x14ac:dyDescent="0.25">
      <c r="A64" s="35">
        <v>515530</v>
      </c>
      <c r="B64" s="35" t="s">
        <v>13</v>
      </c>
      <c r="C64" s="35" t="s">
        <v>7</v>
      </c>
      <c r="D64" s="35" t="s">
        <v>2266</v>
      </c>
      <c r="E64" s="35">
        <v>348.28</v>
      </c>
      <c r="F64" s="34">
        <v>43769</v>
      </c>
    </row>
    <row r="65" spans="1:8" ht="15.75" x14ac:dyDescent="0.25">
      <c r="A65" s="35">
        <v>431210</v>
      </c>
      <c r="B65" s="35" t="s">
        <v>33</v>
      </c>
      <c r="C65" s="35" t="s">
        <v>2456</v>
      </c>
      <c r="D65" s="35" t="s">
        <v>2457</v>
      </c>
      <c r="E65" s="35">
        <v>469.36</v>
      </c>
      <c r="F65" s="34">
        <v>43769</v>
      </c>
    </row>
    <row r="66" spans="1:8" ht="15.75" x14ac:dyDescent="0.25">
      <c r="A66" s="35">
        <v>526741</v>
      </c>
      <c r="B66" s="35" t="s">
        <v>23</v>
      </c>
      <c r="C66" s="35" t="s">
        <v>263</v>
      </c>
      <c r="D66" s="35" t="s">
        <v>2321</v>
      </c>
      <c r="E66" s="35">
        <v>4850.5600000000004</v>
      </c>
      <c r="F66" s="34">
        <v>43777</v>
      </c>
      <c r="H66" s="36" t="s">
        <v>2343</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AB16-2215-459E-9FBB-D3A9618FDD65}">
  <dimension ref="A1:G135"/>
  <sheetViews>
    <sheetView workbookViewId="0">
      <selection activeCell="E61" sqref="E61"/>
    </sheetView>
  </sheetViews>
  <sheetFormatPr defaultRowHeight="15" x14ac:dyDescent="0.25"/>
  <cols>
    <col min="1" max="1" width="3.28515625" style="36" customWidth="1"/>
    <col min="2" max="6" width="40.7109375" style="36" customWidth="1"/>
    <col min="7" max="7" width="3.28515625" style="36" customWidth="1"/>
    <col min="8" max="16384" width="9.140625" style="36"/>
  </cols>
  <sheetData>
    <row r="1" spans="1:7" ht="15.75" thickBot="1" x14ac:dyDescent="0.3">
      <c r="A1" s="371" t="b">
        <f>IF(($E$129+$E$130)=(SUM('FY2020 September Transactions'!E:E)),TRUE,FALSE)</f>
        <v>1</v>
      </c>
      <c r="B1" s="372"/>
      <c r="C1" s="372"/>
      <c r="D1" s="372"/>
      <c r="E1" s="372"/>
      <c r="F1" s="372"/>
      <c r="G1" s="373"/>
    </row>
    <row r="2" spans="1:7" ht="26.25" customHeight="1" x14ac:dyDescent="0.25">
      <c r="A2" s="374" t="b">
        <f>IF(($E$129+$E$130)=(SUM('FY2020 September Transactions'!E:E)),TRUE,FALSE)</f>
        <v>1</v>
      </c>
      <c r="B2" s="350" t="s">
        <v>2267</v>
      </c>
      <c r="C2" s="351"/>
      <c r="D2" s="351"/>
      <c r="E2" s="351"/>
      <c r="F2" s="352"/>
      <c r="G2" s="374" t="b">
        <f>IF(($E$129+$E$130)=(SUM('FY2020 September Transactions'!E:E)),TRUE,FALSE)</f>
        <v>1</v>
      </c>
    </row>
    <row r="3" spans="1:7" ht="26.25" customHeight="1" x14ac:dyDescent="0.25">
      <c r="A3" s="374"/>
      <c r="B3" s="353"/>
      <c r="C3" s="354"/>
      <c r="D3" s="354"/>
      <c r="E3" s="354"/>
      <c r="F3" s="355"/>
      <c r="G3" s="374"/>
    </row>
    <row r="4" spans="1:7" ht="15.75" x14ac:dyDescent="0.25">
      <c r="A4" s="374"/>
      <c r="B4" s="313" t="s">
        <v>53</v>
      </c>
      <c r="C4" s="314" t="s">
        <v>54</v>
      </c>
      <c r="D4" s="314" t="s">
        <v>2111</v>
      </c>
      <c r="E4" s="314" t="s">
        <v>168</v>
      </c>
      <c r="F4" s="315" t="s">
        <v>2112</v>
      </c>
      <c r="G4" s="374"/>
    </row>
    <row r="5" spans="1:7" ht="15.75" x14ac:dyDescent="0.25">
      <c r="A5" s="374"/>
      <c r="B5" s="11"/>
      <c r="C5" s="1"/>
      <c r="D5" s="1"/>
      <c r="E5" s="1"/>
      <c r="F5" s="12"/>
      <c r="G5" s="374"/>
    </row>
    <row r="6" spans="1:7" ht="15.75" x14ac:dyDescent="0.25">
      <c r="A6" s="374"/>
      <c r="B6" s="344" t="s">
        <v>1979</v>
      </c>
      <c r="C6" s="345"/>
      <c r="D6" s="345"/>
      <c r="E6" s="345"/>
      <c r="F6" s="346"/>
      <c r="G6" s="374"/>
    </row>
    <row r="7" spans="1:7" ht="15.75" x14ac:dyDescent="0.25">
      <c r="A7" s="374"/>
      <c r="B7" s="11"/>
      <c r="C7" s="1"/>
      <c r="D7" s="1"/>
      <c r="E7" s="1"/>
      <c r="F7" s="12"/>
      <c r="G7" s="374"/>
    </row>
    <row r="8" spans="1:7" x14ac:dyDescent="0.25">
      <c r="A8" s="374"/>
      <c r="B8" s="80" t="s">
        <v>132</v>
      </c>
      <c r="C8" s="81"/>
      <c r="D8" s="81"/>
      <c r="E8" s="81"/>
      <c r="F8" s="82"/>
      <c r="G8" s="374"/>
    </row>
    <row r="9" spans="1:7" ht="15.75" x14ac:dyDescent="0.25">
      <c r="A9" s="374"/>
      <c r="B9" s="11"/>
      <c r="C9" s="1"/>
      <c r="D9" s="1"/>
      <c r="E9" s="1"/>
      <c r="F9" s="12"/>
      <c r="G9" s="374"/>
    </row>
    <row r="10" spans="1:7" x14ac:dyDescent="0.25">
      <c r="A10" s="374"/>
      <c r="B10" s="13" t="s">
        <v>133</v>
      </c>
      <c r="C10" s="2"/>
      <c r="D10" s="2"/>
      <c r="E10" s="2"/>
      <c r="F10" s="14"/>
      <c r="G10" s="374"/>
    </row>
    <row r="11" spans="1:7" ht="15.75" x14ac:dyDescent="0.25">
      <c r="A11" s="374"/>
      <c r="B11" s="11"/>
      <c r="C11" s="3" t="s">
        <v>134</v>
      </c>
      <c r="D11" s="4">
        <f>'FY2020 August Account'!F11</f>
        <v>216650.22</v>
      </c>
      <c r="E11" s="4">
        <f>E131</f>
        <v>26711.519999999997</v>
      </c>
      <c r="F11" s="15">
        <f>(D11+E11)</f>
        <v>243361.74</v>
      </c>
      <c r="G11" s="374"/>
    </row>
    <row r="12" spans="1:7" x14ac:dyDescent="0.25">
      <c r="A12" s="374"/>
      <c r="B12" s="16" t="s">
        <v>136</v>
      </c>
      <c r="C12" s="2"/>
      <c r="D12" s="5">
        <f>'FY2020 August Account'!F12</f>
        <v>216650.22</v>
      </c>
      <c r="E12" s="5">
        <f>SUM(E11:E11)</f>
        <v>26711.519999999997</v>
      </c>
      <c r="F12" s="17">
        <f>(D12+E12)</f>
        <v>243361.74</v>
      </c>
      <c r="G12" s="374"/>
    </row>
    <row r="13" spans="1:7" ht="15.75" x14ac:dyDescent="0.25">
      <c r="A13" s="374"/>
      <c r="B13" s="11"/>
      <c r="C13" s="1"/>
      <c r="D13" s="1"/>
      <c r="E13" s="1"/>
      <c r="F13" s="12"/>
      <c r="G13" s="374"/>
    </row>
    <row r="14" spans="1:7" x14ac:dyDescent="0.25">
      <c r="A14" s="374"/>
      <c r="B14" s="13" t="s">
        <v>139</v>
      </c>
      <c r="C14" s="2"/>
      <c r="D14" s="2"/>
      <c r="E14" s="2"/>
      <c r="F14" s="14"/>
      <c r="G14" s="374"/>
    </row>
    <row r="15" spans="1:7" ht="15.75" x14ac:dyDescent="0.25">
      <c r="A15" s="374"/>
      <c r="B15" s="11"/>
      <c r="C15" s="3" t="s">
        <v>135</v>
      </c>
      <c r="D15" s="4">
        <f>'FY2020 August Account'!F15</f>
        <v>0</v>
      </c>
      <c r="E15" s="4">
        <v>0</v>
      </c>
      <c r="F15" s="15">
        <f>(D15+E15)</f>
        <v>0</v>
      </c>
      <c r="G15" s="374"/>
    </row>
    <row r="16" spans="1:7" ht="15.75" x14ac:dyDescent="0.25">
      <c r="A16" s="374"/>
      <c r="B16" s="11"/>
      <c r="C16" s="3" t="s">
        <v>140</v>
      </c>
      <c r="D16" s="4">
        <f>'FY2020 August Account'!F16</f>
        <v>0</v>
      </c>
      <c r="E16" s="4">
        <v>0</v>
      </c>
      <c r="F16" s="15">
        <f>(D16+E16)</f>
        <v>0</v>
      </c>
      <c r="G16" s="374"/>
    </row>
    <row r="17" spans="1:7" x14ac:dyDescent="0.25">
      <c r="A17" s="374"/>
      <c r="B17" s="16" t="s">
        <v>137</v>
      </c>
      <c r="C17" s="2"/>
      <c r="D17" s="5">
        <f>'FY2020 August Account'!F17</f>
        <v>0</v>
      </c>
      <c r="E17" s="5">
        <f>SUM(E15:E16)</f>
        <v>0</v>
      </c>
      <c r="F17" s="17">
        <f>(D17-E17)</f>
        <v>0</v>
      </c>
      <c r="G17" s="374"/>
    </row>
    <row r="18" spans="1:7" ht="15.75" x14ac:dyDescent="0.25">
      <c r="A18" s="374"/>
      <c r="B18" s="11"/>
      <c r="C18" s="1"/>
      <c r="D18" s="1"/>
      <c r="E18" s="1"/>
      <c r="F18" s="12"/>
      <c r="G18" s="374"/>
    </row>
    <row r="19" spans="1:7" x14ac:dyDescent="0.25">
      <c r="A19" s="374"/>
      <c r="B19" s="83" t="s">
        <v>138</v>
      </c>
      <c r="C19" s="84"/>
      <c r="D19" s="85">
        <f>'FY2020 August Account'!F19</f>
        <v>216650.22</v>
      </c>
      <c r="E19" s="85">
        <f>SUM(E12,E17)</f>
        <v>26711.519999999997</v>
      </c>
      <c r="F19" s="86">
        <f>(D19+E19)</f>
        <v>243361.74</v>
      </c>
      <c r="G19" s="374"/>
    </row>
    <row r="20" spans="1:7" ht="15.75" x14ac:dyDescent="0.25">
      <c r="A20" s="374"/>
      <c r="B20" s="11"/>
      <c r="C20" s="1"/>
      <c r="D20" s="1"/>
      <c r="E20" s="1"/>
      <c r="F20" s="12"/>
      <c r="G20" s="374"/>
    </row>
    <row r="21" spans="1:7" x14ac:dyDescent="0.25">
      <c r="A21" s="374"/>
      <c r="B21" s="73" t="s">
        <v>55</v>
      </c>
      <c r="C21" s="74"/>
      <c r="D21" s="74"/>
      <c r="E21" s="74"/>
      <c r="F21" s="75"/>
      <c r="G21" s="374"/>
    </row>
    <row r="22" spans="1:7" ht="15.75" x14ac:dyDescent="0.25">
      <c r="A22" s="374"/>
      <c r="B22" s="11"/>
      <c r="C22" s="1"/>
      <c r="D22" s="1"/>
      <c r="E22" s="1"/>
      <c r="F22" s="12"/>
      <c r="G22" s="374"/>
    </row>
    <row r="23" spans="1:7" x14ac:dyDescent="0.25">
      <c r="A23" s="374"/>
      <c r="B23" s="13" t="s">
        <v>56</v>
      </c>
      <c r="C23" s="2"/>
      <c r="D23" s="2"/>
      <c r="E23" s="2"/>
      <c r="F23" s="14"/>
      <c r="G23" s="374"/>
    </row>
    <row r="24" spans="1:7" ht="15.75" x14ac:dyDescent="0.25">
      <c r="A24" s="374"/>
      <c r="B24" s="11"/>
      <c r="C24" s="3" t="s">
        <v>57</v>
      </c>
      <c r="D24" s="4">
        <f>'FY2020 August Account'!F24</f>
        <v>20548.650000000001</v>
      </c>
      <c r="E24" s="4">
        <f>SUMIFS(TraFY2020Sep[[ Amount]],TraFY2020Sep[[ Acct Desc]], "Transfer In*") + SUMIFS(TraFY2020Sep[[ Amount]],TraFY2020Sep[[ Acct Desc]], "ASG FEE*")</f>
        <v>45902.83</v>
      </c>
      <c r="F24" s="15">
        <f>(D24+E24)</f>
        <v>66451.48000000001</v>
      </c>
      <c r="G24" s="374"/>
    </row>
    <row r="25" spans="1:7" ht="15.75" x14ac:dyDescent="0.25">
      <c r="A25" s="374"/>
      <c r="B25" s="11"/>
      <c r="C25" s="3" t="s">
        <v>129</v>
      </c>
      <c r="D25" s="4">
        <f>'FY2020 August Account'!F25</f>
        <v>740.98</v>
      </c>
      <c r="E25" s="4">
        <f>SUMIFS(TraFY2020Sep[[ Amount]],TraFY2020Sep[[ Acct Desc]], "*Income*")</f>
        <v>414.92</v>
      </c>
      <c r="F25" s="15">
        <f>(D25+E25)</f>
        <v>1155.9000000000001</v>
      </c>
      <c r="G25" s="374"/>
    </row>
    <row r="26" spans="1:7" ht="15.75" x14ac:dyDescent="0.25">
      <c r="A26" s="374"/>
      <c r="B26" s="11"/>
      <c r="C26" s="3" t="s">
        <v>2019</v>
      </c>
      <c r="D26" s="4">
        <f>'FY2020 August Account'!F26</f>
        <v>0</v>
      </c>
      <c r="E26" s="4">
        <v>0</v>
      </c>
      <c r="F26" s="15">
        <f>(D26+E26)</f>
        <v>0</v>
      </c>
      <c r="G26" s="374"/>
    </row>
    <row r="27" spans="1:7" x14ac:dyDescent="0.25">
      <c r="A27" s="374"/>
      <c r="B27" s="16" t="s">
        <v>58</v>
      </c>
      <c r="C27" s="2"/>
      <c r="D27" s="5">
        <f>'FY2020 August Account'!F27</f>
        <v>21289.63</v>
      </c>
      <c r="E27" s="5">
        <f>SUM(E24:E26)</f>
        <v>46317.75</v>
      </c>
      <c r="F27" s="17">
        <f>(D27+E27)</f>
        <v>67607.38</v>
      </c>
      <c r="G27" s="374"/>
    </row>
    <row r="28" spans="1:7" ht="15.75" x14ac:dyDescent="0.25">
      <c r="A28" s="374"/>
      <c r="B28" s="11"/>
      <c r="C28" s="1"/>
      <c r="D28" s="1"/>
      <c r="E28" s="1"/>
      <c r="F28" s="12"/>
      <c r="G28" s="374"/>
    </row>
    <row r="29" spans="1:7" x14ac:dyDescent="0.25">
      <c r="A29" s="374"/>
      <c r="B29" s="13" t="s">
        <v>59</v>
      </c>
      <c r="C29" s="2"/>
      <c r="D29" s="2"/>
      <c r="E29" s="2"/>
      <c r="F29" s="14"/>
      <c r="G29" s="374"/>
    </row>
    <row r="30" spans="1:7" ht="15.75" x14ac:dyDescent="0.25">
      <c r="A30" s="374"/>
      <c r="B30" s="11"/>
      <c r="C30" s="3" t="s">
        <v>60</v>
      </c>
      <c r="D30" s="4">
        <f>'FY2020 August Account'!F30</f>
        <v>0</v>
      </c>
      <c r="E30" s="4">
        <v>0</v>
      </c>
      <c r="F30" s="15">
        <f>(D30+E30)</f>
        <v>0</v>
      </c>
      <c r="G30" s="374"/>
    </row>
    <row r="31" spans="1:7" ht="15.75" x14ac:dyDescent="0.25">
      <c r="A31" s="374"/>
      <c r="B31" s="11"/>
      <c r="C31" s="3" t="s">
        <v>2018</v>
      </c>
      <c r="D31" s="4">
        <f>'FY2020 August Account'!F31</f>
        <v>421</v>
      </c>
      <c r="E31" s="4"/>
      <c r="F31" s="15">
        <f>(D31+E31)</f>
        <v>421</v>
      </c>
      <c r="G31" s="374"/>
    </row>
    <row r="32" spans="1:7" x14ac:dyDescent="0.25">
      <c r="A32" s="374"/>
      <c r="B32" s="16" t="s">
        <v>61</v>
      </c>
      <c r="C32" s="2"/>
      <c r="D32" s="5">
        <f>'FY2020 August Account'!F32</f>
        <v>421</v>
      </c>
      <c r="E32" s="5">
        <f>SUM(E30:E31)</f>
        <v>0</v>
      </c>
      <c r="F32" s="17">
        <f>(D32+E32)</f>
        <v>421</v>
      </c>
      <c r="G32" s="374"/>
    </row>
    <row r="33" spans="1:7" ht="15.75" x14ac:dyDescent="0.25">
      <c r="A33" s="374"/>
      <c r="B33" s="11"/>
      <c r="C33" s="1"/>
      <c r="D33" s="1"/>
      <c r="E33" s="1"/>
      <c r="F33" s="12"/>
      <c r="G33" s="374"/>
    </row>
    <row r="34" spans="1:7" x14ac:dyDescent="0.25">
      <c r="A34" s="374"/>
      <c r="B34" s="76" t="s">
        <v>62</v>
      </c>
      <c r="C34" s="77"/>
      <c r="D34" s="78">
        <f>'FY2020 August Account'!F34</f>
        <v>21710.63</v>
      </c>
      <c r="E34" s="78">
        <f>SUM(E27,E32)</f>
        <v>46317.75</v>
      </c>
      <c r="F34" s="79">
        <f>(D34+E34)</f>
        <v>68028.38</v>
      </c>
      <c r="G34" s="374"/>
    </row>
    <row r="35" spans="1:7" ht="15.75" x14ac:dyDescent="0.25">
      <c r="A35" s="374"/>
      <c r="B35" s="11"/>
      <c r="C35" s="1"/>
      <c r="D35" s="1"/>
      <c r="E35" s="1"/>
      <c r="F35" s="12"/>
      <c r="G35" s="374"/>
    </row>
    <row r="36" spans="1:7" ht="15.75" x14ac:dyDescent="0.25">
      <c r="A36" s="374"/>
      <c r="B36" s="344" t="s">
        <v>169</v>
      </c>
      <c r="C36" s="345"/>
      <c r="D36" s="345"/>
      <c r="E36" s="345"/>
      <c r="F36" s="346"/>
      <c r="G36" s="374"/>
    </row>
    <row r="37" spans="1:7" ht="15.75" x14ac:dyDescent="0.25">
      <c r="A37" s="374"/>
      <c r="B37" s="11"/>
      <c r="C37" s="1"/>
      <c r="D37" s="1"/>
      <c r="E37" s="1"/>
      <c r="F37" s="12"/>
      <c r="G37" s="374"/>
    </row>
    <row r="38" spans="1:7" x14ac:dyDescent="0.25">
      <c r="A38" s="374"/>
      <c r="B38" s="66" t="s">
        <v>63</v>
      </c>
      <c r="C38" s="67"/>
      <c r="D38" s="67"/>
      <c r="E38" s="67"/>
      <c r="F38" s="68"/>
      <c r="G38" s="374"/>
    </row>
    <row r="39" spans="1:7" x14ac:dyDescent="0.25">
      <c r="A39" s="374"/>
      <c r="B39" s="18"/>
      <c r="C39" s="3"/>
      <c r="D39" s="3"/>
      <c r="E39" s="3"/>
      <c r="F39" s="19"/>
      <c r="G39" s="374"/>
    </row>
    <row r="40" spans="1:7" x14ac:dyDescent="0.25">
      <c r="A40" s="374"/>
      <c r="B40" s="13" t="s">
        <v>64</v>
      </c>
      <c r="C40" s="2"/>
      <c r="D40" s="2"/>
      <c r="E40" s="2"/>
      <c r="F40" s="14"/>
      <c r="G40" s="374"/>
    </row>
    <row r="41" spans="1:7" x14ac:dyDescent="0.25">
      <c r="A41" s="374"/>
      <c r="B41" s="20"/>
      <c r="C41" s="3" t="s">
        <v>65</v>
      </c>
      <c r="D41" s="4">
        <f>'FY2020 August Account'!F41</f>
        <v>5850</v>
      </c>
      <c r="E41" s="4">
        <f>SUMIFS(TraFY2020Sep[[ Amount]],TraFY2020Sep[[ Trans ID]], "*STIP_ASG_ P*")</f>
        <v>650</v>
      </c>
      <c r="F41" s="15">
        <f>(D41-E41)</f>
        <v>5200</v>
      </c>
      <c r="G41" s="374"/>
    </row>
    <row r="42" spans="1:7" x14ac:dyDescent="0.25">
      <c r="A42" s="374"/>
      <c r="B42" s="20"/>
      <c r="C42" s="3" t="s">
        <v>66</v>
      </c>
      <c r="D42" s="4">
        <f>'FY2020 August Account'!F42</f>
        <v>3600</v>
      </c>
      <c r="E42" s="4">
        <f>SUMIFS(TraFY2020Sep[[ Amount]],TraFY2020Sep[[ Trans ID]], "*STIP_ASG_SVP*")</f>
        <v>400</v>
      </c>
      <c r="F42" s="15">
        <f t="shared" ref="F42:F49" si="0">(D42-E42)</f>
        <v>3200</v>
      </c>
      <c r="G42" s="374"/>
    </row>
    <row r="43" spans="1:7" x14ac:dyDescent="0.25">
      <c r="A43" s="374"/>
      <c r="B43" s="20"/>
      <c r="C43" s="3" t="s">
        <v>67</v>
      </c>
      <c r="D43" s="4">
        <f>'FY2020 August Account'!F43</f>
        <v>2025</v>
      </c>
      <c r="E43" s="4">
        <f>SUMIFS(TraFY2020Sep[[ Amount]],TraFY2020Sep[[ Trans ID]], "*STIP_ASG_COS*")</f>
        <v>225</v>
      </c>
      <c r="F43" s="15">
        <f t="shared" si="0"/>
        <v>1800</v>
      </c>
      <c r="G43" s="374"/>
    </row>
    <row r="44" spans="1:7" x14ac:dyDescent="0.25">
      <c r="A44" s="374"/>
      <c r="B44" s="20"/>
      <c r="C44" s="3" t="s">
        <v>68</v>
      </c>
      <c r="D44" s="4">
        <f>'FY2020 August Account'!F44</f>
        <v>1800</v>
      </c>
      <c r="E44" s="4">
        <f>SUMIFS(TraFY2020Sep[[ Amount]],TraFY2020Sep[[ Trans ID]], "*STIP_ASG_VPGO*")</f>
        <v>200</v>
      </c>
      <c r="F44" s="15">
        <f t="shared" si="0"/>
        <v>1600</v>
      </c>
      <c r="G44" s="374"/>
    </row>
    <row r="45" spans="1:7" x14ac:dyDescent="0.25">
      <c r="A45" s="374"/>
      <c r="B45" s="20"/>
      <c r="C45" s="3" t="s">
        <v>69</v>
      </c>
      <c r="D45" s="4">
        <f>'FY2020 August Account'!F45</f>
        <v>1800</v>
      </c>
      <c r="E45" s="4">
        <f>SUMIFS(TraFY2020Sep[[ Amount]],TraFY2020Sep[[ Trans ID]], "*STIP_ASG_VPMO*")</f>
        <v>200</v>
      </c>
      <c r="F45" s="15">
        <f t="shared" si="0"/>
        <v>1600</v>
      </c>
      <c r="G45" s="374"/>
    </row>
    <row r="46" spans="1:7" x14ac:dyDescent="0.25">
      <c r="A46" s="374"/>
      <c r="B46" s="20"/>
      <c r="C46" s="3" t="s">
        <v>70</v>
      </c>
      <c r="D46" s="4">
        <f>'FY2020 August Account'!F46</f>
        <v>1800</v>
      </c>
      <c r="E46" s="4">
        <f>SUMIFS(TraFY2020Sep[[ Amount]],TraFY2020Sep[[ Trans ID]], "*STIP_ASG_VPCO*")</f>
        <v>200</v>
      </c>
      <c r="F46" s="15">
        <f t="shared" si="0"/>
        <v>1600</v>
      </c>
      <c r="G46" s="374"/>
    </row>
    <row r="47" spans="1:7" x14ac:dyDescent="0.25">
      <c r="A47" s="374"/>
      <c r="B47" s="20"/>
      <c r="C47" s="3" t="s">
        <v>71</v>
      </c>
      <c r="D47" s="4">
        <f>'FY2020 August Account'!F47</f>
        <v>1800</v>
      </c>
      <c r="E47" s="4">
        <f>SUMIFS(TraFY2020Sep[[ Amount]],TraFY2020Sep[[ Trans ID]], "*STIP_ASG_VPBF*")</f>
        <v>200</v>
      </c>
      <c r="F47" s="15">
        <f t="shared" si="0"/>
        <v>1600</v>
      </c>
      <c r="G47" s="374"/>
    </row>
    <row r="48" spans="1:7" x14ac:dyDescent="0.25">
      <c r="A48" s="374"/>
      <c r="B48" s="20"/>
      <c r="C48" s="3" t="s">
        <v>72</v>
      </c>
      <c r="D48" s="4">
        <f>'FY2020 August Account'!F48</f>
        <v>1800</v>
      </c>
      <c r="E48" s="4">
        <f>SUMIFS(TraFY2020Sep[[ Amount]],TraFY2020Sep[[ Trans ID]], "*STIP_ASG_GSR*")</f>
        <v>200</v>
      </c>
      <c r="F48" s="15">
        <f t="shared" si="0"/>
        <v>1600</v>
      </c>
      <c r="G48" s="374"/>
    </row>
    <row r="49" spans="1:7" x14ac:dyDescent="0.25">
      <c r="A49" s="374"/>
      <c r="B49" s="20"/>
      <c r="C49" s="3" t="s">
        <v>73</v>
      </c>
      <c r="D49" s="4">
        <f>'FY2020 August Account'!F49</f>
        <v>1800</v>
      </c>
      <c r="E49" s="4">
        <f>SUMIFS(TraFY2020Sep[[ Amount]],TraFY2020Sep[[ Trans ID]], "*STIP_ASG_MSIR*")</f>
        <v>200</v>
      </c>
      <c r="F49" s="15">
        <f t="shared" si="0"/>
        <v>1600</v>
      </c>
      <c r="G49" s="374"/>
    </row>
    <row r="50" spans="1:7" x14ac:dyDescent="0.25">
      <c r="A50" s="374"/>
      <c r="B50" s="16" t="s">
        <v>74</v>
      </c>
      <c r="C50" s="2"/>
      <c r="D50" s="5">
        <f>'FY2020 August Account'!F50</f>
        <v>22275</v>
      </c>
      <c r="E50" s="6">
        <f>SUM(E41:E49)</f>
        <v>2475</v>
      </c>
      <c r="F50" s="21">
        <f>(D50-E50)</f>
        <v>19800</v>
      </c>
      <c r="G50" s="374"/>
    </row>
    <row r="51" spans="1:7" x14ac:dyDescent="0.25">
      <c r="A51" s="374"/>
      <c r="B51" s="20"/>
      <c r="C51" s="3"/>
      <c r="D51" s="3"/>
      <c r="E51" s="3"/>
      <c r="F51" s="19"/>
      <c r="G51" s="374"/>
    </row>
    <row r="52" spans="1:7" x14ac:dyDescent="0.25">
      <c r="A52" s="374"/>
      <c r="B52" s="13" t="s">
        <v>75</v>
      </c>
      <c r="C52" s="2"/>
      <c r="D52" s="2"/>
      <c r="E52" s="2"/>
      <c r="F52" s="14"/>
      <c r="G52" s="374"/>
    </row>
    <row r="53" spans="1:7" x14ac:dyDescent="0.25">
      <c r="A53" s="374"/>
      <c r="B53" s="20"/>
      <c r="C53" s="3" t="s">
        <v>76</v>
      </c>
      <c r="D53" s="4">
        <f>'FY2020 August Account'!F53</f>
        <v>44166.720000000001</v>
      </c>
      <c r="E53" s="4">
        <f>SUMIFS(TraFY2020Sep[[ Amount]],TraFY2020Sep[[ Acct Desc]], "EHRA*")</f>
        <v>4416.6400000000003</v>
      </c>
      <c r="F53" s="15">
        <f>(D53-E53)</f>
        <v>39750.080000000002</v>
      </c>
      <c r="G53" s="374"/>
    </row>
    <row r="54" spans="1:7" x14ac:dyDescent="0.25">
      <c r="A54" s="374"/>
      <c r="B54" s="20"/>
      <c r="C54" s="3" t="s">
        <v>77</v>
      </c>
      <c r="D54" s="4">
        <f>'FY2020 August Account'!F54</f>
        <v>6206.2999999999993</v>
      </c>
      <c r="E54" s="4">
        <f>SUMIFS(TraFY2020Sep[[ Amount]],TraFY2020Sep[[ Acct Desc]], "ORP-TIAA Ret*")</f>
        <v>302.10000000000002</v>
      </c>
      <c r="F54" s="15">
        <f t="shared" ref="F54:F57" si="1">(D54-E54)</f>
        <v>5904.1999999999989</v>
      </c>
      <c r="G54" s="374"/>
    </row>
    <row r="55" spans="1:7" x14ac:dyDescent="0.25">
      <c r="A55" s="374"/>
      <c r="B55" s="20"/>
      <c r="C55" s="3" t="s">
        <v>78</v>
      </c>
      <c r="D55" s="4">
        <f>'FY2020 August Account'!F55</f>
        <v>4301.3799999999992</v>
      </c>
      <c r="E55" s="4">
        <f>SUMIFS(TraFY2020Sep[[ Amount]],TraFY2020Sep[[ Acct Desc]], "ORP-TIAA Hea*") + SUMIFS(TraFY2020Sep[[ Amount]],TraFY2020Sep[[ Acct Desc]], "Medical*")</f>
        <v>638.45000000000005</v>
      </c>
      <c r="F55" s="15">
        <f t="shared" si="1"/>
        <v>3662.9299999999994</v>
      </c>
      <c r="G55" s="374"/>
    </row>
    <row r="56" spans="1:7" x14ac:dyDescent="0.25">
      <c r="A56" s="374"/>
      <c r="B56" s="20"/>
      <c r="C56" s="3" t="s">
        <v>79</v>
      </c>
      <c r="D56" s="4">
        <f>'FY2020 August Account'!F56</f>
        <v>2747.3</v>
      </c>
      <c r="E56" s="4">
        <f>SUMIFS(TraFY2020Sep[[ Amount]],TraFY2020Sep[[ Acct Desc]], "Social Security-OASDI")</f>
        <v>269.35000000000002</v>
      </c>
      <c r="F56" s="15">
        <f t="shared" si="1"/>
        <v>2477.9500000000003</v>
      </c>
      <c r="G56" s="374"/>
    </row>
    <row r="57" spans="1:7" x14ac:dyDescent="0.25">
      <c r="A57" s="374"/>
      <c r="B57" s="20"/>
      <c r="C57" s="3" t="s">
        <v>80</v>
      </c>
      <c r="D57" s="4">
        <f>'FY2020 August Account'!F57</f>
        <v>642.51</v>
      </c>
      <c r="E57" s="4">
        <f>SUMIFS(TraFY2020Sep[[ Amount]],TraFY2020Sep[[ Acct Desc]], "*Hospital Ins*")</f>
        <v>63</v>
      </c>
      <c r="F57" s="15">
        <f t="shared" si="1"/>
        <v>579.51</v>
      </c>
      <c r="G57" s="374"/>
    </row>
    <row r="58" spans="1:7" x14ac:dyDescent="0.25">
      <c r="A58" s="374"/>
      <c r="B58" s="16" t="s">
        <v>81</v>
      </c>
      <c r="C58" s="2"/>
      <c r="D58" s="5">
        <f>'FY2020 August Account'!F58</f>
        <v>58064.21</v>
      </c>
      <c r="E58" s="6">
        <f>SUM(E53:E57)</f>
        <v>5689.5400000000009</v>
      </c>
      <c r="F58" s="21">
        <f>(D58-E58)</f>
        <v>52374.67</v>
      </c>
      <c r="G58" s="374"/>
    </row>
    <row r="59" spans="1:7" x14ac:dyDescent="0.25">
      <c r="A59" s="374"/>
      <c r="B59" s="20"/>
      <c r="C59" s="3"/>
      <c r="D59" s="3"/>
      <c r="E59" s="3"/>
      <c r="F59" s="19"/>
      <c r="G59" s="374"/>
    </row>
    <row r="60" spans="1:7" x14ac:dyDescent="0.25">
      <c r="A60" s="374"/>
      <c r="B60" s="13" t="s">
        <v>82</v>
      </c>
      <c r="C60" s="2"/>
      <c r="D60" s="2"/>
      <c r="E60" s="2"/>
      <c r="F60" s="14"/>
      <c r="G60" s="374"/>
    </row>
    <row r="61" spans="1:7" x14ac:dyDescent="0.25">
      <c r="A61" s="374"/>
      <c r="B61" s="20"/>
      <c r="C61" s="3" t="s">
        <v>83</v>
      </c>
      <c r="D61" s="4">
        <f>'FY2020 August Account'!F61</f>
        <v>17000</v>
      </c>
      <c r="E61" s="4">
        <f>SUMIFS(TraFY2020Sep[[ Amount]],TraFY2020Sep[[ Trans ID]], "*STIP_ASG_LIA*")</f>
        <v>0</v>
      </c>
      <c r="F61" s="15">
        <f t="shared" ref="F61" si="2">(D61-E61)</f>
        <v>17000</v>
      </c>
      <c r="G61" s="374"/>
    </row>
    <row r="62" spans="1:7" x14ac:dyDescent="0.25">
      <c r="A62" s="374"/>
      <c r="B62" s="16" t="s">
        <v>84</v>
      </c>
      <c r="C62" s="2"/>
      <c r="D62" s="5">
        <f>'FY2020 August Account'!F62</f>
        <v>17000</v>
      </c>
      <c r="E62" s="6">
        <f>SUM(E61:E61)</f>
        <v>0</v>
      </c>
      <c r="F62" s="21">
        <f>(D62-E62)</f>
        <v>17000</v>
      </c>
      <c r="G62" s="374"/>
    </row>
    <row r="63" spans="1:7" x14ac:dyDescent="0.25">
      <c r="A63" s="374"/>
      <c r="B63" s="20"/>
      <c r="C63" s="3"/>
      <c r="D63" s="3"/>
      <c r="E63" s="3"/>
      <c r="F63" s="19"/>
      <c r="G63" s="374"/>
    </row>
    <row r="64" spans="1:7" x14ac:dyDescent="0.25">
      <c r="A64" s="374"/>
      <c r="B64" s="69" t="s">
        <v>85</v>
      </c>
      <c r="C64" s="70"/>
      <c r="D64" s="71">
        <f>'FY2020 August Account'!F64</f>
        <v>97339.21</v>
      </c>
      <c r="E64" s="71">
        <f>SUM(E50, E58, E62)</f>
        <v>8164.5400000000009</v>
      </c>
      <c r="F64" s="72">
        <f>(D64-E64)</f>
        <v>89174.670000000013</v>
      </c>
      <c r="G64" s="374"/>
    </row>
    <row r="65" spans="1:7" x14ac:dyDescent="0.25">
      <c r="A65" s="374"/>
      <c r="B65" s="20"/>
      <c r="C65" s="3"/>
      <c r="D65" s="3"/>
      <c r="E65" s="3"/>
      <c r="F65" s="19"/>
      <c r="G65" s="374"/>
    </row>
    <row r="66" spans="1:7" x14ac:dyDescent="0.25">
      <c r="A66" s="374"/>
      <c r="B66" s="58" t="s">
        <v>130</v>
      </c>
      <c r="C66" s="59"/>
      <c r="D66" s="59"/>
      <c r="E66" s="59"/>
      <c r="F66" s="60"/>
      <c r="G66" s="374"/>
    </row>
    <row r="67" spans="1:7" x14ac:dyDescent="0.25">
      <c r="A67" s="374"/>
      <c r="B67" s="18"/>
      <c r="C67" s="3"/>
      <c r="D67" s="3"/>
      <c r="E67" s="3"/>
      <c r="F67" s="19"/>
      <c r="G67" s="374"/>
    </row>
    <row r="68" spans="1:7" x14ac:dyDescent="0.25">
      <c r="A68" s="374"/>
      <c r="B68" s="13" t="s">
        <v>86</v>
      </c>
      <c r="C68" s="2"/>
      <c r="D68" s="2"/>
      <c r="E68" s="2"/>
      <c r="F68" s="14"/>
      <c r="G68" s="374"/>
    </row>
    <row r="69" spans="1:7" x14ac:dyDescent="0.25">
      <c r="A69" s="374"/>
      <c r="B69" s="20"/>
      <c r="C69" s="3" t="s">
        <v>87</v>
      </c>
      <c r="D69" s="4">
        <f>'FY2020 August Account'!F69</f>
        <v>174</v>
      </c>
      <c r="E69" s="4">
        <f>SUMIFS(TraFY2020Sep[[ Amount]],TraFY2020Sep[[ Acct Desc]], "Teleph*")</f>
        <v>0</v>
      </c>
      <c r="F69" s="15">
        <f t="shared" ref="F69:F70" si="3">(D69-E69)</f>
        <v>174</v>
      </c>
      <c r="G69" s="374"/>
    </row>
    <row r="70" spans="1:7" x14ac:dyDescent="0.25">
      <c r="A70" s="374"/>
      <c r="B70" s="20"/>
      <c r="C70" s="3" t="s">
        <v>88</v>
      </c>
      <c r="D70" s="4">
        <f>'FY2020 August Account'!F70</f>
        <v>992.42</v>
      </c>
      <c r="E70" s="4">
        <f>SUMIFS(TraFY2020Sep[[ Amount]],TraFY2020Sep[[ Acct Desc]], "*Supplies*") + SUMIFS(TraFY2020Sep[[ Amount]],TraFY2020Sep[[ Acct Desc]], "*Pcard*")</f>
        <v>57.099999999999994</v>
      </c>
      <c r="F70" s="15">
        <f t="shared" si="3"/>
        <v>935.31999999999994</v>
      </c>
      <c r="G70" s="374"/>
    </row>
    <row r="71" spans="1:7" x14ac:dyDescent="0.25">
      <c r="A71" s="374"/>
      <c r="B71" s="16" t="s">
        <v>89</v>
      </c>
      <c r="C71" s="2"/>
      <c r="D71" s="5">
        <f>'FY2020 August Account'!F71</f>
        <v>1166.42</v>
      </c>
      <c r="E71" s="6">
        <f>SUM(E69:E70)</f>
        <v>57.099999999999994</v>
      </c>
      <c r="F71" s="21">
        <f>(D71-E71)</f>
        <v>1109.3200000000002</v>
      </c>
      <c r="G71" s="374"/>
    </row>
    <row r="72" spans="1:7" x14ac:dyDescent="0.25">
      <c r="A72" s="374"/>
      <c r="B72" s="20"/>
      <c r="C72" s="3"/>
      <c r="D72" s="3"/>
      <c r="E72" s="3"/>
      <c r="F72" s="19"/>
      <c r="G72" s="374"/>
    </row>
    <row r="73" spans="1:7" x14ac:dyDescent="0.25">
      <c r="A73" s="374"/>
      <c r="B73" s="13" t="s">
        <v>90</v>
      </c>
      <c r="C73" s="2"/>
      <c r="D73" s="2"/>
      <c r="E73" s="2"/>
      <c r="F73" s="14"/>
      <c r="G73" s="374"/>
    </row>
    <row r="74" spans="1:7" x14ac:dyDescent="0.25">
      <c r="A74" s="374"/>
      <c r="B74" s="20"/>
      <c r="C74" s="3" t="s">
        <v>91</v>
      </c>
      <c r="D74" s="4">
        <f>'FY2020 August Account'!F74</f>
        <v>132</v>
      </c>
      <c r="E74" s="4">
        <f>SUMIFS(TraFY2020Sep[[ Amount]],TraFY2020Sep[[ Acct Desc]], "Internet Service") + SUMIFS(TraFY2020Sep[[ Amount]],TraFY2020Sep[[ Acct Desc]], "Software Subscriptions")</f>
        <v>0</v>
      </c>
      <c r="F74" s="15">
        <f t="shared" ref="F74:F76" si="4">(D74-E74)</f>
        <v>132</v>
      </c>
      <c r="G74" s="374"/>
    </row>
    <row r="75" spans="1:7" x14ac:dyDescent="0.25">
      <c r="A75" s="374"/>
      <c r="B75" s="20"/>
      <c r="C75" s="3" t="s">
        <v>92</v>
      </c>
      <c r="D75" s="4">
        <f>'FY2020 August Account'!F75</f>
        <v>1000</v>
      </c>
      <c r="E75" s="4">
        <v>0</v>
      </c>
      <c r="F75" s="15">
        <f t="shared" si="4"/>
        <v>1000</v>
      </c>
      <c r="G75" s="374"/>
    </row>
    <row r="76" spans="1:7" x14ac:dyDescent="0.25">
      <c r="A76" s="374"/>
      <c r="B76" s="20"/>
      <c r="C76" s="3" t="s">
        <v>93</v>
      </c>
      <c r="D76" s="4">
        <f>'FY2020 August Account'!F76</f>
        <v>500</v>
      </c>
      <c r="E76" s="4">
        <v>0</v>
      </c>
      <c r="F76" s="15">
        <f t="shared" si="4"/>
        <v>500</v>
      </c>
      <c r="G76" s="374"/>
    </row>
    <row r="77" spans="1:7" x14ac:dyDescent="0.25">
      <c r="A77" s="374"/>
      <c r="B77" s="16" t="s">
        <v>94</v>
      </c>
      <c r="C77" s="2"/>
      <c r="D77" s="5">
        <f>'FY2020 August Account'!F77</f>
        <v>1632</v>
      </c>
      <c r="E77" s="6">
        <f>SUM(E74:E76)</f>
        <v>0</v>
      </c>
      <c r="F77" s="21">
        <f>(D77-E77)</f>
        <v>1632</v>
      </c>
      <c r="G77" s="374"/>
    </row>
    <row r="78" spans="1:7" x14ac:dyDescent="0.25">
      <c r="A78" s="374"/>
      <c r="B78" s="20"/>
      <c r="C78" s="3"/>
      <c r="D78" s="3"/>
      <c r="E78" s="3"/>
      <c r="F78" s="19"/>
      <c r="G78" s="374"/>
    </row>
    <row r="79" spans="1:7" x14ac:dyDescent="0.25">
      <c r="A79" s="374"/>
      <c r="B79" s="61" t="s">
        <v>95</v>
      </c>
      <c r="C79" s="62"/>
      <c r="D79" s="63">
        <f>'FY2020 August Account'!F79</f>
        <v>2798.42</v>
      </c>
      <c r="E79" s="64">
        <f>SUM(E71, E77)</f>
        <v>57.099999999999994</v>
      </c>
      <c r="F79" s="65">
        <f>(D79-E79)</f>
        <v>2741.32</v>
      </c>
      <c r="G79" s="374"/>
    </row>
    <row r="80" spans="1:7" x14ac:dyDescent="0.25">
      <c r="A80" s="374"/>
      <c r="B80" s="20"/>
      <c r="C80" s="3"/>
      <c r="D80" s="3"/>
      <c r="E80" s="3"/>
      <c r="F80" s="19"/>
      <c r="G80" s="374"/>
    </row>
    <row r="81" spans="1:7" x14ac:dyDescent="0.25">
      <c r="A81" s="374"/>
      <c r="B81" s="51" t="s">
        <v>96</v>
      </c>
      <c r="C81" s="52"/>
      <c r="D81" s="52"/>
      <c r="E81" s="52"/>
      <c r="F81" s="53"/>
      <c r="G81" s="374"/>
    </row>
    <row r="82" spans="1:7" x14ac:dyDescent="0.25">
      <c r="A82" s="374"/>
      <c r="B82" s="18"/>
      <c r="C82" s="3"/>
      <c r="D82" s="3"/>
      <c r="E82" s="3"/>
      <c r="F82" s="19"/>
      <c r="G82" s="374"/>
    </row>
    <row r="83" spans="1:7" x14ac:dyDescent="0.25">
      <c r="A83" s="374"/>
      <c r="B83" s="13" t="s">
        <v>97</v>
      </c>
      <c r="C83" s="2"/>
      <c r="D83" s="2"/>
      <c r="E83" s="2"/>
      <c r="F83" s="14"/>
      <c r="G83" s="374"/>
    </row>
    <row r="84" spans="1:7" x14ac:dyDescent="0.25">
      <c r="A84" s="374"/>
      <c r="B84" s="20"/>
      <c r="C84" s="3" t="s">
        <v>98</v>
      </c>
      <c r="D84" s="4">
        <f>'FY2020 August Account'!F84</f>
        <v>35000</v>
      </c>
      <c r="E84" s="4">
        <f>SUMIFS(TraFY2020Sep[[ Amount]],TraFY2020Sep[[ Acct Desc]], "*Lodging")</f>
        <v>2229.08</v>
      </c>
      <c r="F84" s="15">
        <f>(D84-E84)</f>
        <v>32770.92</v>
      </c>
      <c r="G84" s="374"/>
    </row>
    <row r="85" spans="1:7" x14ac:dyDescent="0.25">
      <c r="A85" s="374"/>
      <c r="B85" s="20"/>
      <c r="C85" s="3" t="s">
        <v>99</v>
      </c>
      <c r="D85" s="4">
        <f>'FY2020 August Account'!F85</f>
        <v>17471</v>
      </c>
      <c r="E85" s="4">
        <f>SUMIFS(TraFY2020Sep[[ Amount]],TraFY2020Sep[[ Acct Desc]], "*Ground")</f>
        <v>1338.08</v>
      </c>
      <c r="F85" s="15">
        <f>(D85-E85)</f>
        <v>16132.92</v>
      </c>
      <c r="G85" s="374"/>
    </row>
    <row r="86" spans="1:7" x14ac:dyDescent="0.25">
      <c r="A86" s="374"/>
      <c r="B86" s="20"/>
      <c r="C86" s="3" t="s">
        <v>100</v>
      </c>
      <c r="D86" s="4">
        <f>'FY2020 August Account'!F86</f>
        <v>7000</v>
      </c>
      <c r="E86" s="4">
        <f>SUMIFS(TraFY2020Sep[[ Amount]],TraFY2020Sep[[ Acct Desc]], "*Meetings*")</f>
        <v>426.26</v>
      </c>
      <c r="F86" s="15">
        <f t="shared" ref="F86" si="5">(D86-E86)</f>
        <v>6573.74</v>
      </c>
      <c r="G86" s="374"/>
    </row>
    <row r="87" spans="1:7" x14ac:dyDescent="0.25">
      <c r="A87" s="374"/>
      <c r="B87" s="16" t="s">
        <v>101</v>
      </c>
      <c r="C87" s="2"/>
      <c r="D87" s="5">
        <f>'FY2020 August Account'!F87</f>
        <v>59471</v>
      </c>
      <c r="E87" s="6">
        <f>SUM(E84:E86)</f>
        <v>3993.42</v>
      </c>
      <c r="F87" s="21">
        <f>(D87-E87)</f>
        <v>55477.58</v>
      </c>
      <c r="G87" s="374"/>
    </row>
    <row r="88" spans="1:7" x14ac:dyDescent="0.25">
      <c r="A88" s="374"/>
      <c r="B88" s="20"/>
      <c r="C88" s="3"/>
      <c r="D88" s="3"/>
      <c r="E88" s="3"/>
      <c r="F88" s="19"/>
      <c r="G88" s="374"/>
    </row>
    <row r="89" spans="1:7" x14ac:dyDescent="0.25">
      <c r="A89" s="374"/>
      <c r="B89" s="13" t="s">
        <v>102</v>
      </c>
      <c r="C89" s="2"/>
      <c r="D89" s="2"/>
      <c r="E89" s="2"/>
      <c r="F89" s="14"/>
      <c r="G89" s="374"/>
    </row>
    <row r="90" spans="1:7" x14ac:dyDescent="0.25">
      <c r="A90" s="374"/>
      <c r="B90" s="20"/>
      <c r="C90" s="3" t="s">
        <v>103</v>
      </c>
      <c r="D90" s="4">
        <f>'FY2020 August Account'!F90</f>
        <v>3190.82</v>
      </c>
      <c r="E90" s="4">
        <v>0</v>
      </c>
      <c r="F90" s="15">
        <f t="shared" ref="F90:F92" si="6">(D90-E90)</f>
        <v>3190.82</v>
      </c>
      <c r="G90" s="374"/>
    </row>
    <row r="91" spans="1:7" x14ac:dyDescent="0.25">
      <c r="A91" s="374"/>
      <c r="B91" s="20"/>
      <c r="C91" s="3" t="s">
        <v>104</v>
      </c>
      <c r="D91" s="4">
        <f>'FY2020 August Account'!F91</f>
        <v>1000</v>
      </c>
      <c r="E91" s="4">
        <v>0</v>
      </c>
      <c r="F91" s="15">
        <f t="shared" si="6"/>
        <v>1000</v>
      </c>
      <c r="G91" s="374"/>
    </row>
    <row r="92" spans="1:7" x14ac:dyDescent="0.25">
      <c r="A92" s="374"/>
      <c r="B92" s="20"/>
      <c r="C92" s="3" t="s">
        <v>1993</v>
      </c>
      <c r="D92" s="4">
        <f>'FY2020 August Account'!F92</f>
        <v>3000</v>
      </c>
      <c r="E92" s="4">
        <v>0</v>
      </c>
      <c r="F92" s="15">
        <f t="shared" si="6"/>
        <v>3000</v>
      </c>
      <c r="G92" s="374"/>
    </row>
    <row r="93" spans="1:7" x14ac:dyDescent="0.25">
      <c r="A93" s="374"/>
      <c r="B93" s="16" t="s">
        <v>105</v>
      </c>
      <c r="C93" s="2"/>
      <c r="D93" s="5">
        <f>'FY2020 August Account'!F93</f>
        <v>7190.82</v>
      </c>
      <c r="E93" s="6">
        <f>SUM(E90:E92)</f>
        <v>0</v>
      </c>
      <c r="F93" s="21">
        <f>(D93-E93)</f>
        <v>7190.82</v>
      </c>
      <c r="G93" s="374"/>
    </row>
    <row r="94" spans="1:7" x14ac:dyDescent="0.25">
      <c r="A94" s="374"/>
      <c r="B94" s="20"/>
      <c r="C94" s="3"/>
      <c r="D94" s="3"/>
      <c r="E94" s="3"/>
      <c r="F94" s="19"/>
      <c r="G94" s="374"/>
    </row>
    <row r="95" spans="1:7" x14ac:dyDescent="0.25">
      <c r="A95" s="374"/>
      <c r="B95" s="54" t="s">
        <v>106</v>
      </c>
      <c r="C95" s="55"/>
      <c r="D95" s="56">
        <f>'FY2020 August Account'!F95</f>
        <v>66661.820000000007</v>
      </c>
      <c r="E95" s="56">
        <f>SUM(E87, E93)</f>
        <v>3993.42</v>
      </c>
      <c r="F95" s="57">
        <f>(D95-E95)</f>
        <v>62668.400000000009</v>
      </c>
      <c r="G95" s="374"/>
    </row>
    <row r="96" spans="1:7" x14ac:dyDescent="0.25">
      <c r="A96" s="374"/>
      <c r="B96" s="20"/>
      <c r="C96" s="3"/>
      <c r="D96" s="3"/>
      <c r="E96" s="3"/>
      <c r="F96" s="19"/>
      <c r="G96" s="374"/>
    </row>
    <row r="97" spans="1:7" x14ac:dyDescent="0.25">
      <c r="A97" s="374"/>
      <c r="B97" s="44" t="s">
        <v>107</v>
      </c>
      <c r="C97" s="45"/>
      <c r="D97" s="45"/>
      <c r="E97" s="45"/>
      <c r="F97" s="46"/>
      <c r="G97" s="374"/>
    </row>
    <row r="98" spans="1:7" x14ac:dyDescent="0.25">
      <c r="A98" s="374"/>
      <c r="B98" s="18"/>
      <c r="C98" s="3"/>
      <c r="D98" s="3"/>
      <c r="E98" s="3"/>
      <c r="F98" s="19"/>
      <c r="G98" s="374"/>
    </row>
    <row r="99" spans="1:7" x14ac:dyDescent="0.25">
      <c r="A99" s="374"/>
      <c r="B99" s="13" t="s">
        <v>108</v>
      </c>
      <c r="C99" s="2"/>
      <c r="D99" s="2"/>
      <c r="E99" s="2"/>
      <c r="F99" s="14"/>
      <c r="G99" s="374"/>
    </row>
    <row r="100" spans="1:7" x14ac:dyDescent="0.25">
      <c r="A100" s="374"/>
      <c r="B100" s="20"/>
      <c r="C100" s="3" t="s">
        <v>109</v>
      </c>
      <c r="D100" s="4">
        <f>'FY2020 August Account'!F100</f>
        <v>3250</v>
      </c>
      <c r="E100" s="4">
        <v>0</v>
      </c>
      <c r="F100" s="15">
        <f t="shared" ref="F100" si="7">(D100-E100)</f>
        <v>3250</v>
      </c>
      <c r="G100" s="374"/>
    </row>
    <row r="101" spans="1:7" x14ac:dyDescent="0.25">
      <c r="A101" s="374"/>
      <c r="B101" s="16" t="s">
        <v>110</v>
      </c>
      <c r="C101" s="2"/>
      <c r="D101" s="5">
        <f>'FY2020 August Account'!F101</f>
        <v>3250</v>
      </c>
      <c r="E101" s="6">
        <f>SUM(E100:E100)</f>
        <v>0</v>
      </c>
      <c r="F101" s="21">
        <f>(D101-E101)</f>
        <v>3250</v>
      </c>
      <c r="G101" s="374"/>
    </row>
    <row r="102" spans="1:7" x14ac:dyDescent="0.25">
      <c r="A102" s="374"/>
      <c r="B102" s="20"/>
      <c r="C102" s="3"/>
      <c r="D102" s="3"/>
      <c r="E102" s="3"/>
      <c r="F102" s="19"/>
      <c r="G102" s="374"/>
    </row>
    <row r="103" spans="1:7" x14ac:dyDescent="0.25">
      <c r="A103" s="374"/>
      <c r="B103" s="13" t="s">
        <v>111</v>
      </c>
      <c r="C103" s="2"/>
      <c r="D103" s="2"/>
      <c r="E103" s="2"/>
      <c r="F103" s="14"/>
      <c r="G103" s="374"/>
    </row>
    <row r="104" spans="1:7" x14ac:dyDescent="0.25">
      <c r="A104" s="374"/>
      <c r="B104" s="20"/>
      <c r="C104" s="3" t="s">
        <v>112</v>
      </c>
      <c r="D104" s="4">
        <f>'FY2020 August Account'!F104</f>
        <v>17000</v>
      </c>
      <c r="E104" s="4">
        <f>SUMIFS(TraFY2020Sep[[ Amount]],TraFY2020Sep[[ Acct Desc]], "Transfer Out*")</f>
        <v>0</v>
      </c>
      <c r="F104" s="15">
        <f t="shared" ref="F104:F105" si="8">(D104-E104)</f>
        <v>17000</v>
      </c>
      <c r="G104" s="374"/>
    </row>
    <row r="105" spans="1:7" x14ac:dyDescent="0.25">
      <c r="A105" s="374"/>
      <c r="B105" s="20"/>
      <c r="C105" s="3" t="s">
        <v>1992</v>
      </c>
      <c r="D105" s="4">
        <f>'FY2020 August Account'!F105</f>
        <v>20000</v>
      </c>
      <c r="E105" s="4">
        <v>0</v>
      </c>
      <c r="F105" s="15">
        <f t="shared" si="8"/>
        <v>20000</v>
      </c>
      <c r="G105" s="374"/>
    </row>
    <row r="106" spans="1:7" x14ac:dyDescent="0.25">
      <c r="A106" s="374"/>
      <c r="B106" s="16" t="s">
        <v>113</v>
      </c>
      <c r="C106" s="2"/>
      <c r="D106" s="5">
        <f>'FY2020 August Account'!F106</f>
        <v>37000</v>
      </c>
      <c r="E106" s="6">
        <f>SUM(E104:E105)</f>
        <v>0</v>
      </c>
      <c r="F106" s="21">
        <f>(D106-E106)</f>
        <v>37000</v>
      </c>
      <c r="G106" s="374"/>
    </row>
    <row r="107" spans="1:7" x14ac:dyDescent="0.25">
      <c r="A107" s="374"/>
      <c r="B107" s="22"/>
      <c r="C107" s="3"/>
      <c r="D107" s="3"/>
      <c r="E107" s="3"/>
      <c r="F107" s="19"/>
      <c r="G107" s="374"/>
    </row>
    <row r="108" spans="1:7" x14ac:dyDescent="0.25">
      <c r="A108" s="374"/>
      <c r="B108" s="13" t="s">
        <v>114</v>
      </c>
      <c r="C108" s="2"/>
      <c r="D108" s="2"/>
      <c r="E108" s="2"/>
      <c r="F108" s="14"/>
      <c r="G108" s="374"/>
    </row>
    <row r="109" spans="1:7" x14ac:dyDescent="0.25">
      <c r="A109" s="374"/>
      <c r="B109" s="20"/>
      <c r="C109" s="3" t="s">
        <v>115</v>
      </c>
      <c r="D109" s="4">
        <f>'FY2020 August Account'!F109</f>
        <v>2000</v>
      </c>
      <c r="E109" s="4">
        <v>0</v>
      </c>
      <c r="F109" s="15">
        <f t="shared" ref="F109" si="9">(D109-E109)</f>
        <v>2000</v>
      </c>
      <c r="G109" s="374"/>
    </row>
    <row r="110" spans="1:7" x14ac:dyDescent="0.25">
      <c r="A110" s="374"/>
      <c r="B110" s="16" t="s">
        <v>116</v>
      </c>
      <c r="C110" s="2"/>
      <c r="D110" s="5">
        <f>'FY2020 August Account'!F110</f>
        <v>2000</v>
      </c>
      <c r="E110" s="6">
        <f>SUM(E109:E109)</f>
        <v>0</v>
      </c>
      <c r="F110" s="21">
        <f>(D110-E110)</f>
        <v>2000</v>
      </c>
      <c r="G110" s="374"/>
    </row>
    <row r="111" spans="1:7" x14ac:dyDescent="0.25">
      <c r="A111" s="374"/>
      <c r="B111" s="20"/>
      <c r="C111" s="3"/>
      <c r="D111" s="3"/>
      <c r="E111" s="3"/>
      <c r="F111" s="19"/>
      <c r="G111" s="374"/>
    </row>
    <row r="112" spans="1:7" x14ac:dyDescent="0.25">
      <c r="A112" s="374"/>
      <c r="B112" s="13" t="s">
        <v>117</v>
      </c>
      <c r="C112" s="2"/>
      <c r="D112" s="2"/>
      <c r="E112" s="2"/>
      <c r="F112" s="14"/>
      <c r="G112" s="374"/>
    </row>
    <row r="113" spans="1:7" x14ac:dyDescent="0.25">
      <c r="A113" s="374"/>
      <c r="B113" s="20"/>
      <c r="C113" s="3" t="s">
        <v>118</v>
      </c>
      <c r="D113" s="4">
        <f>'FY2020 August Account'!F113</f>
        <v>4500</v>
      </c>
      <c r="E113" s="4">
        <v>0</v>
      </c>
      <c r="F113" s="15">
        <f t="shared" ref="F113:F115" si="10">(D113-E113)</f>
        <v>4500</v>
      </c>
      <c r="G113" s="374"/>
    </row>
    <row r="114" spans="1:7" x14ac:dyDescent="0.25">
      <c r="A114" s="374"/>
      <c r="B114" s="20"/>
      <c r="C114" s="3" t="s">
        <v>119</v>
      </c>
      <c r="D114" s="4">
        <f>'FY2020 August Account'!F114</f>
        <v>3000</v>
      </c>
      <c r="E114" s="4">
        <v>0</v>
      </c>
      <c r="F114" s="15">
        <f t="shared" si="10"/>
        <v>3000</v>
      </c>
      <c r="G114" s="374"/>
    </row>
    <row r="115" spans="1:7" x14ac:dyDescent="0.25">
      <c r="A115" s="374"/>
      <c r="B115" s="20"/>
      <c r="C115" s="3" t="s">
        <v>120</v>
      </c>
      <c r="D115" s="4">
        <f>'FY2020 August Account'!F115</f>
        <v>4500</v>
      </c>
      <c r="E115" s="4">
        <v>0</v>
      </c>
      <c r="F115" s="15">
        <f t="shared" si="10"/>
        <v>4500</v>
      </c>
      <c r="G115" s="374"/>
    </row>
    <row r="116" spans="1:7" x14ac:dyDescent="0.25">
      <c r="A116" s="374"/>
      <c r="B116" s="16" t="s">
        <v>121</v>
      </c>
      <c r="C116" s="2"/>
      <c r="D116" s="5">
        <f>'FY2020 August Account'!F116</f>
        <v>12000</v>
      </c>
      <c r="E116" s="6">
        <f>SUM(E113:E115)</f>
        <v>0</v>
      </c>
      <c r="F116" s="21">
        <f>(D116-E116)</f>
        <v>12000</v>
      </c>
      <c r="G116" s="374"/>
    </row>
    <row r="117" spans="1:7" x14ac:dyDescent="0.25">
      <c r="A117" s="374"/>
      <c r="B117" s="20"/>
      <c r="C117" s="3"/>
      <c r="D117" s="3"/>
      <c r="E117" s="3"/>
      <c r="F117" s="19"/>
      <c r="G117" s="374"/>
    </row>
    <row r="118" spans="1:7" x14ac:dyDescent="0.25">
      <c r="A118" s="374"/>
      <c r="B118" s="47" t="s">
        <v>167</v>
      </c>
      <c r="C118" s="48"/>
      <c r="D118" s="49">
        <f>'FY2020 August Account'!F118</f>
        <v>54250</v>
      </c>
      <c r="E118" s="49">
        <f>SUM(E101, E106, E110, E116)</f>
        <v>0</v>
      </c>
      <c r="F118" s="50">
        <f>(D118-E118)</f>
        <v>54250</v>
      </c>
      <c r="G118" s="374"/>
    </row>
    <row r="119" spans="1:7" x14ac:dyDescent="0.25">
      <c r="A119" s="374"/>
      <c r="B119" s="20"/>
      <c r="C119" s="3"/>
      <c r="D119" s="3"/>
      <c r="E119" s="3"/>
      <c r="F119" s="19"/>
      <c r="G119" s="374"/>
    </row>
    <row r="120" spans="1:7" x14ac:dyDescent="0.25">
      <c r="A120" s="374"/>
      <c r="B120" s="38" t="s">
        <v>131</v>
      </c>
      <c r="C120" s="39"/>
      <c r="D120" s="39"/>
      <c r="E120" s="39"/>
      <c r="F120" s="40"/>
      <c r="G120" s="374"/>
    </row>
    <row r="121" spans="1:7" x14ac:dyDescent="0.25">
      <c r="A121" s="374"/>
      <c r="B121" s="18"/>
      <c r="C121" s="3"/>
      <c r="D121" s="3"/>
      <c r="E121" s="3"/>
      <c r="F121" s="19"/>
      <c r="G121" s="374"/>
    </row>
    <row r="122" spans="1:7" x14ac:dyDescent="0.25">
      <c r="A122" s="374"/>
      <c r="B122" s="13" t="s">
        <v>122</v>
      </c>
      <c r="C122" s="2"/>
      <c r="D122" s="2"/>
      <c r="E122" s="2"/>
      <c r="F122" s="14"/>
      <c r="G122" s="374"/>
    </row>
    <row r="123" spans="1:7" x14ac:dyDescent="0.25">
      <c r="A123" s="374"/>
      <c r="B123" s="20"/>
      <c r="C123" s="3" t="s">
        <v>123</v>
      </c>
      <c r="D123" s="4">
        <f>'FY2020 August Account'!F123</f>
        <v>26070</v>
      </c>
      <c r="E123" s="4">
        <f>SUMIFS(TraFY2020Sep[[ Amount]],TraFY2020Sep[[ Acct Desc]], "Fiscal Agent*")</f>
        <v>7391.17</v>
      </c>
      <c r="F123" s="15">
        <f t="shared" ref="F123" si="11">(D123-E123)</f>
        <v>18678.830000000002</v>
      </c>
      <c r="G123" s="374"/>
    </row>
    <row r="124" spans="1:7" x14ac:dyDescent="0.25">
      <c r="A124" s="374"/>
      <c r="B124" s="16" t="s">
        <v>124</v>
      </c>
      <c r="C124" s="2"/>
      <c r="D124" s="5">
        <f>'FY2020 August Account'!F124</f>
        <v>26070</v>
      </c>
      <c r="E124" s="6">
        <f>SUM(E123:E123)</f>
        <v>7391.17</v>
      </c>
      <c r="F124" s="21">
        <f>(D124-E124)</f>
        <v>18678.830000000002</v>
      </c>
      <c r="G124" s="374"/>
    </row>
    <row r="125" spans="1:7" x14ac:dyDescent="0.25">
      <c r="A125" s="374"/>
      <c r="B125" s="20"/>
      <c r="C125" s="3"/>
      <c r="D125" s="3"/>
      <c r="E125" s="3"/>
      <c r="F125" s="19"/>
      <c r="G125" s="374"/>
    </row>
    <row r="126" spans="1:7" x14ac:dyDescent="0.25">
      <c r="A126" s="374"/>
      <c r="B126" s="37" t="s">
        <v>125</v>
      </c>
      <c r="C126" s="41"/>
      <c r="D126" s="42">
        <f>'FY2020 August Account'!F126</f>
        <v>26070</v>
      </c>
      <c r="E126" s="42">
        <f>SUM(E124)</f>
        <v>7391.17</v>
      </c>
      <c r="F126" s="43">
        <f>(D126-E126)</f>
        <v>18678.830000000002</v>
      </c>
      <c r="G126" s="374"/>
    </row>
    <row r="127" spans="1:7" x14ac:dyDescent="0.25">
      <c r="A127" s="374"/>
      <c r="B127" s="23"/>
      <c r="C127" s="7"/>
      <c r="D127" s="7"/>
      <c r="E127" s="7"/>
      <c r="F127" s="24"/>
      <c r="G127" s="374"/>
    </row>
    <row r="128" spans="1:7" x14ac:dyDescent="0.25">
      <c r="A128" s="374"/>
      <c r="B128" s="23"/>
      <c r="C128" s="7"/>
      <c r="D128" s="7"/>
      <c r="E128" s="7"/>
      <c r="F128" s="24"/>
      <c r="G128" s="374"/>
    </row>
    <row r="129" spans="1:7" ht="15.75" x14ac:dyDescent="0.25">
      <c r="A129" s="374"/>
      <c r="B129" s="25" t="s">
        <v>2268</v>
      </c>
      <c r="C129" s="8"/>
      <c r="D129" s="9"/>
      <c r="E129" s="10">
        <f>SUM(E34)</f>
        <v>46317.75</v>
      </c>
      <c r="F129" s="26"/>
      <c r="G129" s="374"/>
    </row>
    <row r="130" spans="1:7" ht="15.75" x14ac:dyDescent="0.25">
      <c r="A130" s="374"/>
      <c r="B130" s="25" t="s">
        <v>2269</v>
      </c>
      <c r="C130" s="8"/>
      <c r="D130" s="9"/>
      <c r="E130" s="10">
        <f>SUM(E64, E79, E95, E118, E126)</f>
        <v>19606.230000000003</v>
      </c>
      <c r="F130" s="26"/>
      <c r="G130" s="374"/>
    </row>
    <row r="131" spans="1:7" ht="16.5" thickBot="1" x14ac:dyDescent="0.3">
      <c r="A131" s="374"/>
      <c r="B131" s="27" t="s">
        <v>2270</v>
      </c>
      <c r="C131" s="28"/>
      <c r="D131" s="29"/>
      <c r="E131" s="30">
        <f>(E129-E130)</f>
        <v>26711.519999999997</v>
      </c>
      <c r="F131" s="31"/>
      <c r="G131" s="374"/>
    </row>
    <row r="132" spans="1:7" ht="15.75" thickBot="1" x14ac:dyDescent="0.3">
      <c r="A132" s="375" t="b">
        <f>IF(($E$129+$E$130)=(SUM('FY2020 September Transactions'!E:E)),TRUE,FALSE)</f>
        <v>1</v>
      </c>
      <c r="B132" s="376"/>
      <c r="C132" s="376"/>
      <c r="D132" s="376"/>
      <c r="E132" s="376"/>
      <c r="F132" s="376"/>
      <c r="G132" s="377"/>
    </row>
    <row r="134" spans="1:7" x14ac:dyDescent="0.25">
      <c r="C134" s="93"/>
    </row>
    <row r="135" spans="1:7" x14ac:dyDescent="0.25">
      <c r="E135" s="93"/>
    </row>
  </sheetData>
  <mergeCells count="7">
    <mergeCell ref="A132:G132"/>
    <mergeCell ref="A1:G1"/>
    <mergeCell ref="A2:A131"/>
    <mergeCell ref="B2:F3"/>
    <mergeCell ref="G2:G131"/>
    <mergeCell ref="B6:F6"/>
    <mergeCell ref="B36:F36"/>
  </mergeCells>
  <conditionalFormatting sqref="G105 A105">
    <cfRule type="cellIs" dxfId="407" priority="1" operator="equal">
      <formula>TRUE</formula>
    </cfRule>
  </conditionalFormatting>
  <conditionalFormatting sqref="A1">
    <cfRule type="cellIs" dxfId="406" priority="8" operator="equal">
      <formula>TRUE</formula>
    </cfRule>
  </conditionalFormatting>
  <conditionalFormatting sqref="A1:A91 G2:G91 G93:G104 A93:A104 A106:A131 G106:G131">
    <cfRule type="cellIs" dxfId="405" priority="7" operator="equal">
      <formula>FALSE</formula>
    </cfRule>
  </conditionalFormatting>
  <conditionalFormatting sqref="A132:G132 G2:G91 A2:A91 A93:A104 G93:G104 G106:G131 A106:A131">
    <cfRule type="cellIs" dxfId="404" priority="6" operator="equal">
      <formula>TRUE</formula>
    </cfRule>
  </conditionalFormatting>
  <conditionalFormatting sqref="A132:G132">
    <cfRule type="cellIs" dxfId="403" priority="5" operator="equal">
      <formula>FALSE</formula>
    </cfRule>
  </conditionalFormatting>
  <conditionalFormatting sqref="A92 G92">
    <cfRule type="cellIs" dxfId="402" priority="4" operator="equal">
      <formula>FALSE</formula>
    </cfRule>
  </conditionalFormatting>
  <conditionalFormatting sqref="G92 A92">
    <cfRule type="cellIs" dxfId="401" priority="3" operator="equal">
      <formula>TRUE</formula>
    </cfRule>
  </conditionalFormatting>
  <conditionalFormatting sqref="A105 G105">
    <cfRule type="cellIs" dxfId="400" priority="2" operator="equal">
      <formula>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1A213-B863-4997-9FC3-FC0617FDF9B7}">
  <dimension ref="A1"/>
  <sheetViews>
    <sheetView zoomScale="80" zoomScaleNormal="80" workbookViewId="0">
      <selection activeCell="AD61" sqref="AD61"/>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10334-200F-421F-A8B1-BABA0FB26D3B}">
  <dimension ref="A1:H46"/>
  <sheetViews>
    <sheetView workbookViewId="0">
      <selection activeCell="A41" sqref="A41:F41"/>
    </sheetView>
  </sheetViews>
  <sheetFormatPr defaultRowHeight="15" x14ac:dyDescent="0.25"/>
  <cols>
    <col min="1" max="1" width="10.7109375" style="36" customWidth="1"/>
    <col min="2" max="6" width="35.7109375" style="36" customWidth="1"/>
    <col min="7" max="16384" width="9.140625" style="36"/>
  </cols>
  <sheetData>
    <row r="1" spans="1:6" x14ac:dyDescent="0.25">
      <c r="A1" s="32" t="s">
        <v>0</v>
      </c>
      <c r="B1" s="32" t="s">
        <v>1</v>
      </c>
      <c r="C1" s="32" t="s">
        <v>2</v>
      </c>
      <c r="D1" s="32" t="s">
        <v>3</v>
      </c>
      <c r="E1" s="32" t="s">
        <v>4</v>
      </c>
      <c r="F1" s="33" t="s">
        <v>5</v>
      </c>
    </row>
    <row r="2" spans="1:6" ht="15.75" x14ac:dyDescent="0.25">
      <c r="A2" s="35">
        <v>526712</v>
      </c>
      <c r="B2" s="35" t="s">
        <v>14</v>
      </c>
      <c r="C2" s="35" t="s">
        <v>281</v>
      </c>
      <c r="D2" s="35" t="s">
        <v>2138</v>
      </c>
      <c r="E2" s="35">
        <v>29</v>
      </c>
      <c r="F2" s="34">
        <v>43709</v>
      </c>
    </row>
    <row r="3" spans="1:6" ht="15.75" x14ac:dyDescent="0.25">
      <c r="A3" s="35">
        <v>526741</v>
      </c>
      <c r="B3" s="35" t="s">
        <v>23</v>
      </c>
      <c r="C3" s="35" t="s">
        <v>263</v>
      </c>
      <c r="D3" s="35" t="s">
        <v>2139</v>
      </c>
      <c r="E3" s="35">
        <v>500</v>
      </c>
      <c r="F3" s="34">
        <v>43718</v>
      </c>
    </row>
    <row r="4" spans="1:6" ht="15.75" x14ac:dyDescent="0.25">
      <c r="A4" s="35">
        <v>531110</v>
      </c>
      <c r="B4" s="35" t="s">
        <v>27</v>
      </c>
      <c r="C4" s="35" t="s">
        <v>142</v>
      </c>
      <c r="D4" s="35" t="s">
        <v>2140</v>
      </c>
      <c r="E4" s="35">
        <v>25.81</v>
      </c>
      <c r="F4" s="34">
        <v>43719</v>
      </c>
    </row>
    <row r="5" spans="1:6" ht="15.75" x14ac:dyDescent="0.25">
      <c r="A5" s="35">
        <v>531110</v>
      </c>
      <c r="B5" s="35" t="s">
        <v>27</v>
      </c>
      <c r="C5" s="35" t="s">
        <v>142</v>
      </c>
      <c r="D5" s="35" t="s">
        <v>2140</v>
      </c>
      <c r="E5" s="35">
        <v>31.29</v>
      </c>
      <c r="F5" s="34">
        <v>43719</v>
      </c>
    </row>
    <row r="6" spans="1:6" ht="15.75" x14ac:dyDescent="0.25">
      <c r="A6" s="35">
        <v>487110</v>
      </c>
      <c r="B6" s="35" t="s">
        <v>36</v>
      </c>
      <c r="C6" s="35" t="s">
        <v>2141</v>
      </c>
      <c r="D6" s="35" t="s">
        <v>2142</v>
      </c>
      <c r="E6" s="35">
        <v>3453.83</v>
      </c>
      <c r="F6" s="34">
        <v>43719</v>
      </c>
    </row>
    <row r="7" spans="1:6" ht="15.75" x14ac:dyDescent="0.25">
      <c r="A7" s="35">
        <v>526712</v>
      </c>
      <c r="B7" s="35" t="s">
        <v>14</v>
      </c>
      <c r="C7" s="35" t="s">
        <v>1493</v>
      </c>
      <c r="D7" s="35" t="s">
        <v>2143</v>
      </c>
      <c r="E7" s="35">
        <v>50.16</v>
      </c>
      <c r="F7" s="34">
        <v>43726</v>
      </c>
    </row>
    <row r="8" spans="1:6" ht="15.75" x14ac:dyDescent="0.25">
      <c r="A8" s="35">
        <v>526712</v>
      </c>
      <c r="B8" s="35" t="s">
        <v>14</v>
      </c>
      <c r="C8" s="35" t="s">
        <v>21</v>
      </c>
      <c r="D8" s="35" t="s">
        <v>2144</v>
      </c>
      <c r="E8" s="35">
        <v>49.18</v>
      </c>
      <c r="F8" s="34">
        <v>43726</v>
      </c>
    </row>
    <row r="9" spans="1:6" ht="15.75" x14ac:dyDescent="0.25">
      <c r="A9" s="35">
        <v>526712</v>
      </c>
      <c r="B9" s="35" t="s">
        <v>14</v>
      </c>
      <c r="C9" s="35" t="s">
        <v>2080</v>
      </c>
      <c r="D9" s="35" t="s">
        <v>2145</v>
      </c>
      <c r="E9" s="35">
        <v>180.84</v>
      </c>
      <c r="F9" s="34">
        <v>43726</v>
      </c>
    </row>
    <row r="10" spans="1:6" ht="15.75" x14ac:dyDescent="0.25">
      <c r="A10" s="35">
        <v>526712</v>
      </c>
      <c r="B10" s="35" t="s">
        <v>14</v>
      </c>
      <c r="C10" s="35" t="s">
        <v>1830</v>
      </c>
      <c r="D10" s="35" t="s">
        <v>2146</v>
      </c>
      <c r="E10" s="35">
        <v>70.62</v>
      </c>
      <c r="F10" s="34">
        <v>43726</v>
      </c>
    </row>
    <row r="11" spans="1:6" ht="15.75" x14ac:dyDescent="0.25">
      <c r="A11" s="35">
        <v>526712</v>
      </c>
      <c r="B11" s="35" t="s">
        <v>14</v>
      </c>
      <c r="C11" s="35" t="s">
        <v>2080</v>
      </c>
      <c r="D11" s="35" t="s">
        <v>2147</v>
      </c>
      <c r="E11" s="35">
        <v>193.38</v>
      </c>
      <c r="F11" s="34">
        <v>43726</v>
      </c>
    </row>
    <row r="12" spans="1:6" ht="15.75" x14ac:dyDescent="0.25">
      <c r="A12" s="35">
        <v>526712</v>
      </c>
      <c r="B12" s="35" t="s">
        <v>14</v>
      </c>
      <c r="C12" s="35" t="s">
        <v>1304</v>
      </c>
      <c r="D12" s="35" t="s">
        <v>2148</v>
      </c>
      <c r="E12" s="35">
        <v>51.04</v>
      </c>
      <c r="F12" s="34">
        <v>43726</v>
      </c>
    </row>
    <row r="13" spans="1:6" ht="15.75" x14ac:dyDescent="0.25">
      <c r="A13" s="35">
        <v>526712</v>
      </c>
      <c r="B13" s="35" t="s">
        <v>14</v>
      </c>
      <c r="C13" s="35" t="s">
        <v>1486</v>
      </c>
      <c r="D13" s="35" t="s">
        <v>2149</v>
      </c>
      <c r="E13" s="35">
        <v>56.76</v>
      </c>
      <c r="F13" s="34">
        <v>43726</v>
      </c>
    </row>
    <row r="14" spans="1:6" ht="15.75" x14ac:dyDescent="0.25">
      <c r="A14" s="35">
        <v>558979</v>
      </c>
      <c r="B14" s="35" t="s">
        <v>150</v>
      </c>
      <c r="C14" s="35" t="s">
        <v>281</v>
      </c>
      <c r="D14" s="35" t="s">
        <v>2276</v>
      </c>
      <c r="E14" s="35">
        <v>650</v>
      </c>
      <c r="F14" s="34">
        <v>43728</v>
      </c>
    </row>
    <row r="15" spans="1:6" ht="15.75" x14ac:dyDescent="0.25">
      <c r="A15" s="35">
        <v>558979</v>
      </c>
      <c r="B15" s="35" t="s">
        <v>150</v>
      </c>
      <c r="C15" s="35" t="s">
        <v>1410</v>
      </c>
      <c r="D15" s="35" t="s">
        <v>2150</v>
      </c>
      <c r="E15" s="35">
        <v>200</v>
      </c>
      <c r="F15" s="34">
        <v>43728</v>
      </c>
    </row>
    <row r="16" spans="1:6" ht="15.75" x14ac:dyDescent="0.25">
      <c r="A16" s="35">
        <v>558979</v>
      </c>
      <c r="B16" s="35" t="s">
        <v>150</v>
      </c>
      <c r="C16" s="35" t="s">
        <v>1493</v>
      </c>
      <c r="D16" s="35" t="s">
        <v>2151</v>
      </c>
      <c r="E16" s="35">
        <v>200</v>
      </c>
      <c r="F16" s="34">
        <v>43728</v>
      </c>
    </row>
    <row r="17" spans="1:6" ht="15.75" x14ac:dyDescent="0.25">
      <c r="A17" s="35">
        <v>558979</v>
      </c>
      <c r="B17" s="35" t="s">
        <v>150</v>
      </c>
      <c r="C17" s="35" t="s">
        <v>1431</v>
      </c>
      <c r="D17" s="35" t="s">
        <v>2152</v>
      </c>
      <c r="E17" s="35">
        <v>200</v>
      </c>
      <c r="F17" s="34">
        <v>43728</v>
      </c>
    </row>
    <row r="18" spans="1:6" ht="15.75" x14ac:dyDescent="0.25">
      <c r="A18" s="35">
        <v>558979</v>
      </c>
      <c r="B18" s="35" t="s">
        <v>150</v>
      </c>
      <c r="C18" s="35" t="s">
        <v>1531</v>
      </c>
      <c r="D18" s="35" t="s">
        <v>2153</v>
      </c>
      <c r="E18" s="35">
        <v>200</v>
      </c>
      <c r="F18" s="34">
        <v>43728</v>
      </c>
    </row>
    <row r="19" spans="1:6" ht="15.75" x14ac:dyDescent="0.25">
      <c r="A19" s="35">
        <v>558979</v>
      </c>
      <c r="B19" s="35" t="s">
        <v>150</v>
      </c>
      <c r="C19" s="35" t="s">
        <v>1304</v>
      </c>
      <c r="D19" s="35" t="s">
        <v>2277</v>
      </c>
      <c r="E19" s="35">
        <v>400</v>
      </c>
      <c r="F19" s="34">
        <v>43728</v>
      </c>
    </row>
    <row r="20" spans="1:6" ht="15.75" x14ac:dyDescent="0.25">
      <c r="A20" s="35">
        <v>558979</v>
      </c>
      <c r="B20" s="35" t="s">
        <v>150</v>
      </c>
      <c r="C20" s="35" t="s">
        <v>15</v>
      </c>
      <c r="D20" s="35" t="s">
        <v>2154</v>
      </c>
      <c r="E20" s="35">
        <v>200</v>
      </c>
      <c r="F20" s="34">
        <v>43728</v>
      </c>
    </row>
    <row r="21" spans="1:6" ht="15.75" x14ac:dyDescent="0.25">
      <c r="A21" s="35">
        <v>558979</v>
      </c>
      <c r="B21" s="35" t="s">
        <v>150</v>
      </c>
      <c r="C21" s="35" t="s">
        <v>21</v>
      </c>
      <c r="D21" s="35" t="s">
        <v>2155</v>
      </c>
      <c r="E21" s="35">
        <v>200</v>
      </c>
      <c r="F21" s="34">
        <v>43728</v>
      </c>
    </row>
    <row r="22" spans="1:6" ht="15.75" x14ac:dyDescent="0.25">
      <c r="A22" s="35">
        <v>558979</v>
      </c>
      <c r="B22" s="35" t="s">
        <v>150</v>
      </c>
      <c r="C22" s="35" t="s">
        <v>2002</v>
      </c>
      <c r="D22" s="35" t="s">
        <v>2156</v>
      </c>
      <c r="E22" s="35">
        <v>225</v>
      </c>
      <c r="F22" s="34">
        <v>43728</v>
      </c>
    </row>
    <row r="23" spans="1:6" ht="15.75" x14ac:dyDescent="0.25">
      <c r="A23" s="35">
        <v>526712</v>
      </c>
      <c r="B23" s="35" t="s">
        <v>14</v>
      </c>
      <c r="C23" s="35" t="s">
        <v>2157</v>
      </c>
      <c r="D23" s="35" t="s">
        <v>2158</v>
      </c>
      <c r="E23" s="35">
        <v>111.54</v>
      </c>
      <c r="F23" s="34">
        <v>43728</v>
      </c>
    </row>
    <row r="24" spans="1:6" ht="15.75" x14ac:dyDescent="0.25">
      <c r="A24" s="35">
        <v>526712</v>
      </c>
      <c r="B24" s="35" t="s">
        <v>14</v>
      </c>
      <c r="C24" s="35" t="s">
        <v>19</v>
      </c>
      <c r="D24" s="35" t="s">
        <v>2159</v>
      </c>
      <c r="E24" s="35">
        <v>101.64</v>
      </c>
      <c r="F24" s="34">
        <v>43728</v>
      </c>
    </row>
    <row r="25" spans="1:6" ht="15.75" x14ac:dyDescent="0.25">
      <c r="A25" s="35">
        <v>526712</v>
      </c>
      <c r="B25" s="35" t="s">
        <v>14</v>
      </c>
      <c r="C25" s="35" t="s">
        <v>2160</v>
      </c>
      <c r="D25" s="35" t="s">
        <v>2161</v>
      </c>
      <c r="E25" s="35">
        <v>50.16</v>
      </c>
      <c r="F25" s="34">
        <v>43728</v>
      </c>
    </row>
    <row r="26" spans="1:6" ht="15.75" x14ac:dyDescent="0.25">
      <c r="A26" s="35">
        <v>526712</v>
      </c>
      <c r="B26" s="35" t="s">
        <v>14</v>
      </c>
      <c r="C26" s="35" t="s">
        <v>2039</v>
      </c>
      <c r="D26" s="35" t="s">
        <v>2162</v>
      </c>
      <c r="E26" s="35">
        <v>163.68</v>
      </c>
      <c r="F26" s="34">
        <v>43728</v>
      </c>
    </row>
    <row r="27" spans="1:6" ht="15.75" x14ac:dyDescent="0.25">
      <c r="A27" s="35">
        <v>526712</v>
      </c>
      <c r="B27" s="35" t="s">
        <v>14</v>
      </c>
      <c r="C27" s="35" t="s">
        <v>2163</v>
      </c>
      <c r="D27" s="35" t="s">
        <v>2164</v>
      </c>
      <c r="E27" s="35">
        <v>122.76</v>
      </c>
      <c r="F27" s="34">
        <v>43728</v>
      </c>
    </row>
    <row r="28" spans="1:6" ht="15.75" x14ac:dyDescent="0.25">
      <c r="A28" s="35">
        <v>526712</v>
      </c>
      <c r="B28" s="35" t="s">
        <v>14</v>
      </c>
      <c r="C28" s="35" t="s">
        <v>2165</v>
      </c>
      <c r="D28" s="35" t="s">
        <v>2166</v>
      </c>
      <c r="E28" s="35">
        <v>67.319999999999993</v>
      </c>
      <c r="F28" s="34">
        <v>43728</v>
      </c>
    </row>
    <row r="29" spans="1:6" ht="15.75" x14ac:dyDescent="0.25">
      <c r="A29" s="35">
        <v>487110</v>
      </c>
      <c r="B29" s="35" t="s">
        <v>36</v>
      </c>
      <c r="C29" s="35" t="s">
        <v>2167</v>
      </c>
      <c r="D29" s="35" t="s">
        <v>2168</v>
      </c>
      <c r="E29" s="35">
        <v>6216.82</v>
      </c>
      <c r="F29" s="34">
        <v>43733</v>
      </c>
    </row>
    <row r="30" spans="1:6" ht="15.75" x14ac:dyDescent="0.25">
      <c r="A30" s="35">
        <v>487110</v>
      </c>
      <c r="B30" s="35" t="s">
        <v>36</v>
      </c>
      <c r="C30" s="35" t="s">
        <v>2169</v>
      </c>
      <c r="D30" s="35" t="s">
        <v>2170</v>
      </c>
      <c r="E30" s="35">
        <v>13027.02</v>
      </c>
      <c r="F30" s="34">
        <v>43734</v>
      </c>
    </row>
    <row r="31" spans="1:6" ht="15.75" x14ac:dyDescent="0.25">
      <c r="A31" s="35">
        <v>526120</v>
      </c>
      <c r="B31" s="35" t="s">
        <v>217</v>
      </c>
      <c r="C31" s="35" t="s">
        <v>1158</v>
      </c>
      <c r="D31" s="35" t="s">
        <v>2171</v>
      </c>
      <c r="E31" s="35">
        <v>40</v>
      </c>
      <c r="F31" s="34">
        <v>43735</v>
      </c>
    </row>
    <row r="32" spans="1:6" ht="15.75" x14ac:dyDescent="0.25">
      <c r="A32" s="35">
        <v>487110</v>
      </c>
      <c r="B32" s="35" t="s">
        <v>36</v>
      </c>
      <c r="C32" s="35" t="s">
        <v>2172</v>
      </c>
      <c r="D32" s="35" t="s">
        <v>2173</v>
      </c>
      <c r="E32" s="35">
        <v>1615.38</v>
      </c>
      <c r="F32" s="34">
        <v>43735</v>
      </c>
    </row>
    <row r="33" spans="1:8" ht="15.75" x14ac:dyDescent="0.25">
      <c r="A33" s="35">
        <v>511120</v>
      </c>
      <c r="B33" s="35" t="s">
        <v>6</v>
      </c>
      <c r="C33" s="35" t="s">
        <v>7</v>
      </c>
      <c r="D33" s="35" t="s">
        <v>2174</v>
      </c>
      <c r="E33" s="35">
        <v>4416.6400000000003</v>
      </c>
      <c r="F33" s="34">
        <v>43738</v>
      </c>
    </row>
    <row r="34" spans="1:8" ht="15.75" x14ac:dyDescent="0.25">
      <c r="A34" s="35">
        <v>515120</v>
      </c>
      <c r="B34" s="35" t="s">
        <v>9</v>
      </c>
      <c r="C34" s="35" t="s">
        <v>7</v>
      </c>
      <c r="D34" s="35" t="s">
        <v>2174</v>
      </c>
      <c r="E34" s="35">
        <v>269.35000000000002</v>
      </c>
      <c r="F34" s="34">
        <v>43738</v>
      </c>
    </row>
    <row r="35" spans="1:8" ht="15.75" x14ac:dyDescent="0.25">
      <c r="A35" s="35">
        <v>515130</v>
      </c>
      <c r="B35" s="35" t="s">
        <v>10</v>
      </c>
      <c r="C35" s="35" t="s">
        <v>7</v>
      </c>
      <c r="D35" s="35" t="s">
        <v>2174</v>
      </c>
      <c r="E35" s="35">
        <v>63</v>
      </c>
      <c r="F35" s="34">
        <v>43738</v>
      </c>
    </row>
    <row r="36" spans="1:8" ht="15.75" x14ac:dyDescent="0.25">
      <c r="A36" s="35">
        <v>515410</v>
      </c>
      <c r="B36" s="35" t="s">
        <v>11</v>
      </c>
      <c r="C36" s="35" t="s">
        <v>7</v>
      </c>
      <c r="D36" s="35" t="s">
        <v>2174</v>
      </c>
      <c r="E36" s="35">
        <v>302.10000000000002</v>
      </c>
      <c r="F36" s="34">
        <v>43738</v>
      </c>
    </row>
    <row r="37" spans="1:8" ht="15.75" x14ac:dyDescent="0.25">
      <c r="A37" s="35">
        <v>515420</v>
      </c>
      <c r="B37" s="35" t="s">
        <v>12</v>
      </c>
      <c r="C37" s="35" t="s">
        <v>7</v>
      </c>
      <c r="D37" s="35" t="s">
        <v>2174</v>
      </c>
      <c r="E37" s="35">
        <v>290.17</v>
      </c>
      <c r="F37" s="34">
        <v>43738</v>
      </c>
    </row>
    <row r="38" spans="1:8" ht="15.75" x14ac:dyDescent="0.25">
      <c r="A38" s="35">
        <v>515530</v>
      </c>
      <c r="B38" s="35" t="s">
        <v>13</v>
      </c>
      <c r="C38" s="35" t="s">
        <v>7</v>
      </c>
      <c r="D38" s="35" t="s">
        <v>2174</v>
      </c>
      <c r="E38" s="35">
        <v>348.28</v>
      </c>
      <c r="F38" s="34">
        <v>43738</v>
      </c>
    </row>
    <row r="39" spans="1:8" ht="15.75" x14ac:dyDescent="0.25">
      <c r="A39" s="35">
        <v>558982</v>
      </c>
      <c r="B39" s="35" t="s">
        <v>819</v>
      </c>
      <c r="C39" s="35" t="s">
        <v>2175</v>
      </c>
      <c r="D39" s="35" t="s">
        <v>2176</v>
      </c>
      <c r="E39" s="35">
        <v>7309.66</v>
      </c>
      <c r="F39" s="34">
        <v>43738</v>
      </c>
    </row>
    <row r="40" spans="1:8" ht="15.75" x14ac:dyDescent="0.25">
      <c r="A40" s="35">
        <v>558982</v>
      </c>
      <c r="B40" s="35" t="s">
        <v>819</v>
      </c>
      <c r="C40" s="35" t="s">
        <v>2175</v>
      </c>
      <c r="D40" s="35" t="s">
        <v>2176</v>
      </c>
      <c r="E40" s="35">
        <v>81.510000000000005</v>
      </c>
      <c r="F40" s="34">
        <v>43738</v>
      </c>
    </row>
    <row r="41" spans="1:8" ht="15.75" x14ac:dyDescent="0.25">
      <c r="A41" s="35">
        <v>431210</v>
      </c>
      <c r="B41" s="35" t="s">
        <v>33</v>
      </c>
      <c r="C41" s="35" t="s">
        <v>2177</v>
      </c>
      <c r="D41" s="35" t="s">
        <v>2178</v>
      </c>
      <c r="E41" s="35">
        <v>414.92</v>
      </c>
      <c r="F41" s="34">
        <v>43738</v>
      </c>
    </row>
    <row r="42" spans="1:8" ht="15.75" x14ac:dyDescent="0.25">
      <c r="A42" s="35">
        <v>487110</v>
      </c>
      <c r="B42" s="35" t="s">
        <v>36</v>
      </c>
      <c r="C42" s="35" t="s">
        <v>2179</v>
      </c>
      <c r="D42" s="35" t="s">
        <v>2180</v>
      </c>
      <c r="E42" s="35">
        <v>12464.13</v>
      </c>
      <c r="F42" s="34">
        <v>43738</v>
      </c>
    </row>
    <row r="43" spans="1:8" ht="15.75" x14ac:dyDescent="0.25">
      <c r="A43" s="35">
        <v>487110</v>
      </c>
      <c r="B43" s="35" t="s">
        <v>36</v>
      </c>
      <c r="C43" s="35" t="s">
        <v>2181</v>
      </c>
      <c r="D43" s="35" t="s">
        <v>2182</v>
      </c>
      <c r="E43" s="35">
        <v>2787.5</v>
      </c>
      <c r="F43" s="34">
        <v>43738</v>
      </c>
    </row>
    <row r="44" spans="1:8" ht="15.75" x14ac:dyDescent="0.25">
      <c r="A44" s="35">
        <v>487110</v>
      </c>
      <c r="B44" s="35" t="s">
        <v>36</v>
      </c>
      <c r="C44" s="35" t="s">
        <v>2183</v>
      </c>
      <c r="D44" s="35" t="s">
        <v>2184</v>
      </c>
      <c r="E44" s="35">
        <v>6338.15</v>
      </c>
      <c r="F44" s="34">
        <v>43738</v>
      </c>
    </row>
    <row r="45" spans="1:8" ht="15.75" x14ac:dyDescent="0.25">
      <c r="A45" s="35">
        <v>558921</v>
      </c>
      <c r="B45" s="35" t="s">
        <v>262</v>
      </c>
      <c r="C45" s="35" t="s">
        <v>404</v>
      </c>
      <c r="D45" s="35" t="s">
        <v>2189</v>
      </c>
      <c r="E45" s="35">
        <v>426.26</v>
      </c>
      <c r="F45" s="34">
        <v>43739</v>
      </c>
      <c r="H45" s="36" t="s">
        <v>2275</v>
      </c>
    </row>
    <row r="46" spans="1:8" ht="15.75" x14ac:dyDescent="0.25">
      <c r="A46" s="35">
        <v>526741</v>
      </c>
      <c r="B46" s="35" t="s">
        <v>23</v>
      </c>
      <c r="C46" s="35" t="s">
        <v>263</v>
      </c>
      <c r="D46" s="35" t="s">
        <v>2197</v>
      </c>
      <c r="E46" s="35">
        <v>1729.08</v>
      </c>
      <c r="F46" s="34">
        <v>43747</v>
      </c>
      <c r="H46" s="36" t="s">
        <v>2275</v>
      </c>
    </row>
  </sheetData>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5FA93-112C-4858-BA52-219C3E721E33}">
  <dimension ref="A1:G134"/>
  <sheetViews>
    <sheetView workbookViewId="0">
      <selection activeCell="E41" sqref="E41"/>
    </sheetView>
  </sheetViews>
  <sheetFormatPr defaultRowHeight="15" x14ac:dyDescent="0.25"/>
  <cols>
    <col min="1" max="1" width="3.28515625" style="36" customWidth="1"/>
    <col min="2" max="6" width="40.7109375" style="36" customWidth="1"/>
    <col min="7" max="7" width="3.28515625" style="36" customWidth="1"/>
    <col min="8" max="16384" width="9.140625" style="36"/>
  </cols>
  <sheetData>
    <row r="1" spans="1:7" ht="15.75" thickBot="1" x14ac:dyDescent="0.3">
      <c r="A1" s="371" t="b">
        <f>IF(($E$129+$E$130)=(SUM('FY2020 August Transactions'!E:E)),TRUE,FALSE)</f>
        <v>1</v>
      </c>
      <c r="B1" s="372"/>
      <c r="C1" s="372"/>
      <c r="D1" s="372"/>
      <c r="E1" s="372"/>
      <c r="F1" s="372"/>
      <c r="G1" s="373"/>
    </row>
    <row r="2" spans="1:7" ht="26.25" customHeight="1" x14ac:dyDescent="0.25">
      <c r="A2" s="374" t="b">
        <f>IF(($E$129+$E$130)=(SUM('FY2020 August Transactions'!E:E)),TRUE,FALSE)</f>
        <v>1</v>
      </c>
      <c r="B2" s="350" t="s">
        <v>170</v>
      </c>
      <c r="C2" s="351"/>
      <c r="D2" s="351"/>
      <c r="E2" s="351"/>
      <c r="F2" s="352"/>
      <c r="G2" s="374" t="b">
        <f>IF(($E$129+$E$130)=(SUM('FY2020 August Transactions'!E:E)),TRUE,FALSE)</f>
        <v>1</v>
      </c>
    </row>
    <row r="3" spans="1:7" ht="26.25" customHeight="1" x14ac:dyDescent="0.25">
      <c r="A3" s="374"/>
      <c r="B3" s="353"/>
      <c r="C3" s="354"/>
      <c r="D3" s="354"/>
      <c r="E3" s="354"/>
      <c r="F3" s="355"/>
      <c r="G3" s="374"/>
    </row>
    <row r="4" spans="1:7" ht="15.75" x14ac:dyDescent="0.25">
      <c r="A4" s="374"/>
      <c r="B4" s="97" t="s">
        <v>53</v>
      </c>
      <c r="C4" s="98" t="s">
        <v>54</v>
      </c>
      <c r="D4" s="98" t="s">
        <v>2111</v>
      </c>
      <c r="E4" s="98" t="s">
        <v>168</v>
      </c>
      <c r="F4" s="99" t="s">
        <v>2112</v>
      </c>
      <c r="G4" s="374"/>
    </row>
    <row r="5" spans="1:7" ht="15.75" x14ac:dyDescent="0.25">
      <c r="A5" s="374"/>
      <c r="B5" s="11"/>
      <c r="C5" s="1"/>
      <c r="D5" s="1"/>
      <c r="E5" s="1"/>
      <c r="F5" s="12"/>
      <c r="G5" s="374"/>
    </row>
    <row r="6" spans="1:7" ht="15.75" x14ac:dyDescent="0.25">
      <c r="A6" s="374"/>
      <c r="B6" s="344" t="s">
        <v>1979</v>
      </c>
      <c r="C6" s="345"/>
      <c r="D6" s="345"/>
      <c r="E6" s="345"/>
      <c r="F6" s="346"/>
      <c r="G6" s="374"/>
    </row>
    <row r="7" spans="1:7" ht="15.75" x14ac:dyDescent="0.25">
      <c r="A7" s="374"/>
      <c r="B7" s="11"/>
      <c r="C7" s="1"/>
      <c r="D7" s="1"/>
      <c r="E7" s="1"/>
      <c r="F7" s="12"/>
      <c r="G7" s="374"/>
    </row>
    <row r="8" spans="1:7" x14ac:dyDescent="0.25">
      <c r="A8" s="374"/>
      <c r="B8" s="80" t="s">
        <v>132</v>
      </c>
      <c r="C8" s="81"/>
      <c r="D8" s="81"/>
      <c r="E8" s="81"/>
      <c r="F8" s="82"/>
      <c r="G8" s="374"/>
    </row>
    <row r="9" spans="1:7" ht="15.75" x14ac:dyDescent="0.25">
      <c r="A9" s="374"/>
      <c r="B9" s="11"/>
      <c r="C9" s="1"/>
      <c r="D9" s="1"/>
      <c r="E9" s="1"/>
      <c r="F9" s="12"/>
      <c r="G9" s="374"/>
    </row>
    <row r="10" spans="1:7" x14ac:dyDescent="0.25">
      <c r="A10" s="374"/>
      <c r="B10" s="13" t="s">
        <v>133</v>
      </c>
      <c r="C10" s="2"/>
      <c r="D10" s="2"/>
      <c r="E10" s="2"/>
      <c r="F10" s="14"/>
      <c r="G10" s="374"/>
    </row>
    <row r="11" spans="1:7" ht="15.75" x14ac:dyDescent="0.25">
      <c r="A11" s="374"/>
      <c r="B11" s="11"/>
      <c r="C11" s="3" t="s">
        <v>134</v>
      </c>
      <c r="D11" s="4">
        <f>'FY2020 July Account'!F11</f>
        <v>204210.71</v>
      </c>
      <c r="E11" s="4">
        <f>E131</f>
        <v>12439.51</v>
      </c>
      <c r="F11" s="15">
        <f>(D11+E11)</f>
        <v>216650.22</v>
      </c>
      <c r="G11" s="374"/>
    </row>
    <row r="12" spans="1:7" x14ac:dyDescent="0.25">
      <c r="A12" s="374"/>
      <c r="B12" s="16" t="s">
        <v>136</v>
      </c>
      <c r="C12" s="2"/>
      <c r="D12" s="5">
        <f>'FY2020 July Account'!F12</f>
        <v>204210.71</v>
      </c>
      <c r="E12" s="5">
        <f>SUM(E11:E11)</f>
        <v>12439.51</v>
      </c>
      <c r="F12" s="17">
        <f>(D12+E12)</f>
        <v>216650.22</v>
      </c>
      <c r="G12" s="374"/>
    </row>
    <row r="13" spans="1:7" ht="15.75" x14ac:dyDescent="0.25">
      <c r="A13" s="374"/>
      <c r="B13" s="11"/>
      <c r="C13" s="1"/>
      <c r="D13" s="1"/>
      <c r="E13" s="1"/>
      <c r="F13" s="12"/>
      <c r="G13" s="374"/>
    </row>
    <row r="14" spans="1:7" x14ac:dyDescent="0.25">
      <c r="A14" s="374"/>
      <c r="B14" s="13" t="s">
        <v>139</v>
      </c>
      <c r="C14" s="2"/>
      <c r="D14" s="2"/>
      <c r="E14" s="2"/>
      <c r="F14" s="14"/>
      <c r="G14" s="374"/>
    </row>
    <row r="15" spans="1:7" ht="15.75" x14ac:dyDescent="0.25">
      <c r="A15" s="374"/>
      <c r="B15" s="11"/>
      <c r="C15" s="3" t="s">
        <v>135</v>
      </c>
      <c r="D15" s="4">
        <f>'FY2020 July Account'!F15</f>
        <v>0</v>
      </c>
      <c r="E15" s="4">
        <v>0</v>
      </c>
      <c r="F15" s="15">
        <f>(D15+E15)</f>
        <v>0</v>
      </c>
      <c r="G15" s="374"/>
    </row>
    <row r="16" spans="1:7" ht="15.75" x14ac:dyDescent="0.25">
      <c r="A16" s="374"/>
      <c r="B16" s="11"/>
      <c r="C16" s="3" t="s">
        <v>140</v>
      </c>
      <c r="D16" s="4">
        <f>'FY2020 July Account'!F16</f>
        <v>0</v>
      </c>
      <c r="E16" s="4">
        <v>0</v>
      </c>
      <c r="F16" s="15">
        <f>(D16+E16)</f>
        <v>0</v>
      </c>
      <c r="G16" s="374"/>
    </row>
    <row r="17" spans="1:7" x14ac:dyDescent="0.25">
      <c r="A17" s="374"/>
      <c r="B17" s="16" t="s">
        <v>137</v>
      </c>
      <c r="C17" s="2"/>
      <c r="D17" s="5">
        <f>'FY2020 July Account'!F17</f>
        <v>0</v>
      </c>
      <c r="E17" s="5">
        <f>SUM(E15:E16)</f>
        <v>0</v>
      </c>
      <c r="F17" s="17">
        <f>(D17-E17)</f>
        <v>0</v>
      </c>
      <c r="G17" s="374"/>
    </row>
    <row r="18" spans="1:7" ht="15.75" x14ac:dyDescent="0.25">
      <c r="A18" s="374"/>
      <c r="B18" s="11"/>
      <c r="C18" s="1"/>
      <c r="D18" s="1"/>
      <c r="E18" s="1"/>
      <c r="F18" s="12"/>
      <c r="G18" s="374"/>
    </row>
    <row r="19" spans="1:7" x14ac:dyDescent="0.25">
      <c r="A19" s="374"/>
      <c r="B19" s="83" t="s">
        <v>138</v>
      </c>
      <c r="C19" s="84"/>
      <c r="D19" s="85">
        <f>'FY2020 July Account'!F19</f>
        <v>204210.71</v>
      </c>
      <c r="E19" s="85">
        <f>SUM(E12,E17)</f>
        <v>12439.51</v>
      </c>
      <c r="F19" s="86">
        <f>(D19+E19)</f>
        <v>216650.22</v>
      </c>
      <c r="G19" s="374"/>
    </row>
    <row r="20" spans="1:7" ht="15.75" x14ac:dyDescent="0.25">
      <c r="A20" s="374"/>
      <c r="B20" s="11"/>
      <c r="C20" s="1"/>
      <c r="D20" s="1"/>
      <c r="E20" s="1"/>
      <c r="F20" s="12"/>
      <c r="G20" s="374"/>
    </row>
    <row r="21" spans="1:7" x14ac:dyDescent="0.25">
      <c r="A21" s="374"/>
      <c r="B21" s="73" t="s">
        <v>55</v>
      </c>
      <c r="C21" s="74"/>
      <c r="D21" s="74"/>
      <c r="E21" s="74"/>
      <c r="F21" s="75"/>
      <c r="G21" s="374"/>
    </row>
    <row r="22" spans="1:7" ht="15.75" x14ac:dyDescent="0.25">
      <c r="A22" s="374"/>
      <c r="B22" s="11"/>
      <c r="C22" s="1"/>
      <c r="D22" s="1"/>
      <c r="E22" s="1"/>
      <c r="F22" s="12"/>
      <c r="G22" s="374"/>
    </row>
    <row r="23" spans="1:7" x14ac:dyDescent="0.25">
      <c r="A23" s="374"/>
      <c r="B23" s="13" t="s">
        <v>56</v>
      </c>
      <c r="C23" s="2"/>
      <c r="D23" s="2"/>
      <c r="E23" s="2"/>
      <c r="F23" s="14"/>
      <c r="G23" s="374"/>
    </row>
    <row r="24" spans="1:7" ht="15.75" x14ac:dyDescent="0.25">
      <c r="A24" s="374"/>
      <c r="B24" s="11"/>
      <c r="C24" s="3" t="s">
        <v>57</v>
      </c>
      <c r="D24" s="4">
        <f>'FY2020 July Account'!F24</f>
        <v>699.22</v>
      </c>
      <c r="E24" s="4">
        <f>SUMIFS(TraFY2020Aug[[ Amount]],TraFY2020Aug[[ Acct Desc]], "Transfer In*") + SUMIFS(TraFY2020Aug[[ Amount]],TraFY2020Aug[[ Acct Desc]], "ASG FEE*")</f>
        <v>19849.43</v>
      </c>
      <c r="F24" s="15">
        <f>(D24+E24)</f>
        <v>20548.650000000001</v>
      </c>
      <c r="G24" s="374"/>
    </row>
    <row r="25" spans="1:7" ht="15.75" x14ac:dyDescent="0.25">
      <c r="A25" s="374"/>
      <c r="B25" s="11"/>
      <c r="C25" s="3" t="s">
        <v>129</v>
      </c>
      <c r="D25" s="4">
        <f>'FY2020 July Account'!F25</f>
        <v>377.85</v>
      </c>
      <c r="E25" s="4">
        <f>SUMIFS(TraFY2020Aug[[ Amount]],TraFY2020Aug[[ Acct Desc]], "*Income*")</f>
        <v>363.13</v>
      </c>
      <c r="F25" s="15">
        <f>(D25+E25)</f>
        <v>740.98</v>
      </c>
      <c r="G25" s="374"/>
    </row>
    <row r="26" spans="1:7" ht="15.75" x14ac:dyDescent="0.25">
      <c r="A26" s="374"/>
      <c r="B26" s="11"/>
      <c r="C26" s="3" t="s">
        <v>2019</v>
      </c>
      <c r="D26" s="4">
        <f>'FY2020 July Account'!F26</f>
        <v>0</v>
      </c>
      <c r="E26" s="4">
        <v>0</v>
      </c>
      <c r="F26" s="15">
        <f>(D26+E26)</f>
        <v>0</v>
      </c>
      <c r="G26" s="374"/>
    </row>
    <row r="27" spans="1:7" x14ac:dyDescent="0.25">
      <c r="A27" s="374"/>
      <c r="B27" s="16" t="s">
        <v>58</v>
      </c>
      <c r="C27" s="2"/>
      <c r="D27" s="5">
        <f>'FY2020 July Account'!F27</f>
        <v>1077.0700000000002</v>
      </c>
      <c r="E27" s="5">
        <f>SUM(E24:E26)</f>
        <v>20212.560000000001</v>
      </c>
      <c r="F27" s="17">
        <f>(D27+E27)</f>
        <v>21289.63</v>
      </c>
      <c r="G27" s="374"/>
    </row>
    <row r="28" spans="1:7" ht="15.75" x14ac:dyDescent="0.25">
      <c r="A28" s="374"/>
      <c r="B28" s="11"/>
      <c r="C28" s="1"/>
      <c r="D28" s="1"/>
      <c r="E28" s="1"/>
      <c r="F28" s="12"/>
      <c r="G28" s="374"/>
    </row>
    <row r="29" spans="1:7" x14ac:dyDescent="0.25">
      <c r="A29" s="374"/>
      <c r="B29" s="13" t="s">
        <v>59</v>
      </c>
      <c r="C29" s="2"/>
      <c r="D29" s="2"/>
      <c r="E29" s="2"/>
      <c r="F29" s="14"/>
      <c r="G29" s="374"/>
    </row>
    <row r="30" spans="1:7" ht="15.75" x14ac:dyDescent="0.25">
      <c r="A30" s="374"/>
      <c r="B30" s="11"/>
      <c r="C30" s="3" t="s">
        <v>60</v>
      </c>
      <c r="D30" s="4">
        <f>'FY2020 July Account'!F30</f>
        <v>0</v>
      </c>
      <c r="E30" s="4">
        <v>0</v>
      </c>
      <c r="F30" s="15">
        <f>(D30+E30)</f>
        <v>0</v>
      </c>
      <c r="G30" s="374"/>
    </row>
    <row r="31" spans="1:7" ht="15.75" x14ac:dyDescent="0.25">
      <c r="A31" s="374"/>
      <c r="B31" s="11"/>
      <c r="C31" s="3" t="s">
        <v>2018</v>
      </c>
      <c r="D31" s="4">
        <f>'FY2020 July Account'!F31</f>
        <v>0</v>
      </c>
      <c r="E31" s="4">
        <f>SUM('FY2020 August Transactions'!E12,'FY2020 August Transactions'!E13)</f>
        <v>421</v>
      </c>
      <c r="F31" s="15">
        <f>(D31+E31)</f>
        <v>421</v>
      </c>
      <c r="G31" s="374"/>
    </row>
    <row r="32" spans="1:7" x14ac:dyDescent="0.25">
      <c r="A32" s="374"/>
      <c r="B32" s="16" t="s">
        <v>61</v>
      </c>
      <c r="C32" s="2"/>
      <c r="D32" s="5">
        <f>'FY2020 July Account'!F32</f>
        <v>0</v>
      </c>
      <c r="E32" s="5">
        <f>SUM(E30:E31)</f>
        <v>421</v>
      </c>
      <c r="F32" s="17">
        <f>(D32+E32)</f>
        <v>421</v>
      </c>
      <c r="G32" s="374"/>
    </row>
    <row r="33" spans="1:7" ht="15.75" x14ac:dyDescent="0.25">
      <c r="A33" s="374"/>
      <c r="B33" s="11"/>
      <c r="C33" s="1"/>
      <c r="D33" s="1"/>
      <c r="E33" s="1"/>
      <c r="F33" s="12"/>
      <c r="G33" s="374"/>
    </row>
    <row r="34" spans="1:7" x14ac:dyDescent="0.25">
      <c r="A34" s="374"/>
      <c r="B34" s="76" t="s">
        <v>62</v>
      </c>
      <c r="C34" s="77"/>
      <c r="D34" s="78">
        <f>'FY2020 July Account'!F34</f>
        <v>1077.0700000000002</v>
      </c>
      <c r="E34" s="78">
        <f>SUM(E27,E32)</f>
        <v>20633.560000000001</v>
      </c>
      <c r="F34" s="79">
        <f>(D34+E34)</f>
        <v>21710.63</v>
      </c>
      <c r="G34" s="374"/>
    </row>
    <row r="35" spans="1:7" ht="15.75" x14ac:dyDescent="0.25">
      <c r="A35" s="374"/>
      <c r="B35" s="11"/>
      <c r="C35" s="1"/>
      <c r="D35" s="1"/>
      <c r="E35" s="1"/>
      <c r="F35" s="12"/>
      <c r="G35" s="374"/>
    </row>
    <row r="36" spans="1:7" ht="15.75" x14ac:dyDescent="0.25">
      <c r="A36" s="374"/>
      <c r="B36" s="344" t="s">
        <v>169</v>
      </c>
      <c r="C36" s="345"/>
      <c r="D36" s="345"/>
      <c r="E36" s="345"/>
      <c r="F36" s="346"/>
      <c r="G36" s="374"/>
    </row>
    <row r="37" spans="1:7" ht="15.75" x14ac:dyDescent="0.25">
      <c r="A37" s="374"/>
      <c r="B37" s="11"/>
      <c r="C37" s="1"/>
      <c r="D37" s="1"/>
      <c r="E37" s="1"/>
      <c r="F37" s="12"/>
      <c r="G37" s="374"/>
    </row>
    <row r="38" spans="1:7" x14ac:dyDescent="0.25">
      <c r="A38" s="374"/>
      <c r="B38" s="66" t="s">
        <v>63</v>
      </c>
      <c r="C38" s="67"/>
      <c r="D38" s="67"/>
      <c r="E38" s="67"/>
      <c r="F38" s="68"/>
      <c r="G38" s="374"/>
    </row>
    <row r="39" spans="1:7" x14ac:dyDescent="0.25">
      <c r="A39" s="374"/>
      <c r="B39" s="18"/>
      <c r="C39" s="3"/>
      <c r="D39" s="3"/>
      <c r="E39" s="3"/>
      <c r="F39" s="19"/>
      <c r="G39" s="374"/>
    </row>
    <row r="40" spans="1:7" x14ac:dyDescent="0.25">
      <c r="A40" s="374"/>
      <c r="B40" s="13" t="s">
        <v>64</v>
      </c>
      <c r="C40" s="2"/>
      <c r="D40" s="2"/>
      <c r="E40" s="2"/>
      <c r="F40" s="14"/>
      <c r="G40" s="374"/>
    </row>
    <row r="41" spans="1:7" x14ac:dyDescent="0.25">
      <c r="A41" s="374"/>
      <c r="B41" s="20"/>
      <c r="C41" s="3" t="s">
        <v>65</v>
      </c>
      <c r="D41" s="4">
        <f>'FY2020 July Account'!F41</f>
        <v>6500</v>
      </c>
      <c r="E41" s="4">
        <f>SUMIFS(TraFY2020Aug[[ Amount]],TraFY2020Aug[[ Trans ID]], "*STIP_ASG_SVP*")</f>
        <v>650</v>
      </c>
      <c r="F41" s="15">
        <f>(D41-E41)</f>
        <v>5850</v>
      </c>
      <c r="G41" s="374"/>
    </row>
    <row r="42" spans="1:7" x14ac:dyDescent="0.25">
      <c r="A42" s="374"/>
      <c r="B42" s="20"/>
      <c r="C42" s="3" t="s">
        <v>66</v>
      </c>
      <c r="D42" s="4">
        <f>'FY2020 July Account'!F42</f>
        <v>4000</v>
      </c>
      <c r="E42" s="4">
        <f>SUMIFS(TraFY2020Aug[[ Amount]],TraFY2020Aug[[ Trans ID]], "*STIP_ASG_ P*")</f>
        <v>400</v>
      </c>
      <c r="F42" s="15">
        <f t="shared" ref="F42:F49" si="0">(D42-E42)</f>
        <v>3600</v>
      </c>
      <c r="G42" s="374"/>
    </row>
    <row r="43" spans="1:7" x14ac:dyDescent="0.25">
      <c r="A43" s="374"/>
      <c r="B43" s="20"/>
      <c r="C43" s="3" t="s">
        <v>67</v>
      </c>
      <c r="D43" s="4">
        <f>'FY2020 July Account'!F43</f>
        <v>2250</v>
      </c>
      <c r="E43" s="4">
        <f>SUMIFS(TraFY2020Aug[[ Amount]],TraFY2020Aug[[ Trans ID]], "*STIP_ASG_COS*")</f>
        <v>225</v>
      </c>
      <c r="F43" s="15">
        <f t="shared" si="0"/>
        <v>2025</v>
      </c>
      <c r="G43" s="374"/>
    </row>
    <row r="44" spans="1:7" x14ac:dyDescent="0.25">
      <c r="A44" s="374"/>
      <c r="B44" s="20"/>
      <c r="C44" s="3" t="s">
        <v>68</v>
      </c>
      <c r="D44" s="4">
        <f>'FY2020 July Account'!F44</f>
        <v>2000</v>
      </c>
      <c r="E44" s="4">
        <f>SUMIFS(TraFY2020Aug[[ Amount]],TraFY2020Aug[[ Trans ID]], "*STIP_ASG_VPGO*")</f>
        <v>200</v>
      </c>
      <c r="F44" s="15">
        <f t="shared" si="0"/>
        <v>1800</v>
      </c>
      <c r="G44" s="374"/>
    </row>
    <row r="45" spans="1:7" x14ac:dyDescent="0.25">
      <c r="A45" s="374"/>
      <c r="B45" s="20"/>
      <c r="C45" s="3" t="s">
        <v>69</v>
      </c>
      <c r="D45" s="4">
        <f>'FY2020 July Account'!F45</f>
        <v>2000</v>
      </c>
      <c r="E45" s="4">
        <f>SUMIFS(TraFY2020Aug[[ Amount]],TraFY2020Aug[[ Trans ID]], "*STIP_ASG_VPMO*")</f>
        <v>200</v>
      </c>
      <c r="F45" s="15">
        <f t="shared" si="0"/>
        <v>1800</v>
      </c>
      <c r="G45" s="374"/>
    </row>
    <row r="46" spans="1:7" x14ac:dyDescent="0.25">
      <c r="A46" s="374"/>
      <c r="B46" s="20"/>
      <c r="C46" s="3" t="s">
        <v>70</v>
      </c>
      <c r="D46" s="4">
        <f>'FY2020 July Account'!F46</f>
        <v>2000</v>
      </c>
      <c r="E46" s="4">
        <f>SUMIFS(TraFY2020Aug[[ Amount]],TraFY2020Aug[[ Trans ID]], "*STIP_ASG_VPCO*")</f>
        <v>200</v>
      </c>
      <c r="F46" s="15">
        <f t="shared" si="0"/>
        <v>1800</v>
      </c>
      <c r="G46" s="374"/>
    </row>
    <row r="47" spans="1:7" x14ac:dyDescent="0.25">
      <c r="A47" s="374"/>
      <c r="B47" s="20"/>
      <c r="C47" s="3" t="s">
        <v>71</v>
      </c>
      <c r="D47" s="4">
        <f>'FY2020 July Account'!F47</f>
        <v>2000</v>
      </c>
      <c r="E47" s="4">
        <f>SUMIFS(TraFY2020Aug[[ Amount]],TraFY2020Aug[[ Trans ID]], "*STIP_ASG_VPBF*")</f>
        <v>200</v>
      </c>
      <c r="F47" s="15">
        <f t="shared" si="0"/>
        <v>1800</v>
      </c>
      <c r="G47" s="374"/>
    </row>
    <row r="48" spans="1:7" x14ac:dyDescent="0.25">
      <c r="A48" s="374"/>
      <c r="B48" s="20"/>
      <c r="C48" s="3" t="s">
        <v>72</v>
      </c>
      <c r="D48" s="4">
        <f>'FY2020 July Account'!F48</f>
        <v>2000</v>
      </c>
      <c r="E48" s="4">
        <f>SUMIFS(TraFY2020Aug[[ Amount]],TraFY2020Aug[[ Trans ID]], "*STIP_ASG_GSR*")</f>
        <v>200</v>
      </c>
      <c r="F48" s="15">
        <f t="shared" si="0"/>
        <v>1800</v>
      </c>
      <c r="G48" s="374"/>
    </row>
    <row r="49" spans="1:7" x14ac:dyDescent="0.25">
      <c r="A49" s="374"/>
      <c r="B49" s="20"/>
      <c r="C49" s="3" t="s">
        <v>73</v>
      </c>
      <c r="D49" s="4">
        <f>'FY2020 July Account'!F49</f>
        <v>2000</v>
      </c>
      <c r="E49" s="4">
        <f>SUMIFS(TraFY2020Aug[[ Amount]],TraFY2020Aug[[ Trans ID]], "*STIP_ASG_MSIR*")</f>
        <v>200</v>
      </c>
      <c r="F49" s="15">
        <f t="shared" si="0"/>
        <v>1800</v>
      </c>
      <c r="G49" s="374"/>
    </row>
    <row r="50" spans="1:7" x14ac:dyDescent="0.25">
      <c r="A50" s="374"/>
      <c r="B50" s="16" t="s">
        <v>74</v>
      </c>
      <c r="C50" s="2"/>
      <c r="D50" s="5">
        <f>'FY2020 July Account'!F50</f>
        <v>24750</v>
      </c>
      <c r="E50" s="6">
        <f>SUM(E41:E49)</f>
        <v>2475</v>
      </c>
      <c r="F50" s="21">
        <f>(D50-E50)</f>
        <v>22275</v>
      </c>
      <c r="G50" s="374"/>
    </row>
    <row r="51" spans="1:7" x14ac:dyDescent="0.25">
      <c r="A51" s="374"/>
      <c r="B51" s="20"/>
      <c r="C51" s="3"/>
      <c r="D51" s="3"/>
      <c r="E51" s="3"/>
      <c r="F51" s="19"/>
      <c r="G51" s="374"/>
    </row>
    <row r="52" spans="1:7" x14ac:dyDescent="0.25">
      <c r="A52" s="374"/>
      <c r="B52" s="13" t="s">
        <v>75</v>
      </c>
      <c r="C52" s="2"/>
      <c r="D52" s="2"/>
      <c r="E52" s="2"/>
      <c r="F52" s="14"/>
      <c r="G52" s="374"/>
    </row>
    <row r="53" spans="1:7" x14ac:dyDescent="0.25">
      <c r="A53" s="374"/>
      <c r="B53" s="20"/>
      <c r="C53" s="3" t="s">
        <v>76</v>
      </c>
      <c r="D53" s="4">
        <f>'FY2020 July Account'!F53</f>
        <v>48583.360000000001</v>
      </c>
      <c r="E53" s="4">
        <f>SUMIFS(TraFY2020Aug[[ Amount]],TraFY2020Aug[[ Acct Desc]], "EHRA*")</f>
        <v>4416.6400000000003</v>
      </c>
      <c r="F53" s="15">
        <f>(D53-E53)</f>
        <v>44166.720000000001</v>
      </c>
      <c r="G53" s="374"/>
    </row>
    <row r="54" spans="1:7" x14ac:dyDescent="0.25">
      <c r="A54" s="374"/>
      <c r="B54" s="20"/>
      <c r="C54" s="3" t="s">
        <v>77</v>
      </c>
      <c r="D54" s="4">
        <f>'FY2020 July Account'!F54</f>
        <v>6508.4</v>
      </c>
      <c r="E54" s="4">
        <f>SUMIFS(TraFY2020Aug[[ Amount]],TraFY2020Aug[[ Acct Desc]], "ORP-TIAA Ret*")</f>
        <v>302.10000000000002</v>
      </c>
      <c r="F54" s="15">
        <f t="shared" ref="F54:F57" si="1">(D54-E54)</f>
        <v>6206.2999999999993</v>
      </c>
      <c r="G54" s="374"/>
    </row>
    <row r="55" spans="1:7" x14ac:dyDescent="0.25">
      <c r="A55" s="374"/>
      <c r="B55" s="20"/>
      <c r="C55" s="3" t="s">
        <v>78</v>
      </c>
      <c r="D55" s="4">
        <f>'FY2020 July Account'!F55</f>
        <v>4932.7699999999995</v>
      </c>
      <c r="E55" s="4">
        <f>SUMIFS(TraFY2020Aug[[ Amount]],TraFY2020Aug[[ Acct Desc]], "ORP-TIAA Hea*") + SUMIFS(TraFY2020Aug[[ Amount]],TraFY2020Aug[[ Acct Desc]], "Medical*")</f>
        <v>631.39</v>
      </c>
      <c r="F55" s="15">
        <f t="shared" si="1"/>
        <v>4301.3799999999992</v>
      </c>
      <c r="G55" s="374"/>
    </row>
    <row r="56" spans="1:7" x14ac:dyDescent="0.25">
      <c r="A56" s="374"/>
      <c r="B56" s="20"/>
      <c r="C56" s="3" t="s">
        <v>79</v>
      </c>
      <c r="D56" s="4">
        <f>'FY2020 July Account'!F56</f>
        <v>3016.65</v>
      </c>
      <c r="E56" s="4">
        <f>SUMIFS(TraFY2020Aug[[ Amount]],TraFY2020Aug[[ Acct Desc]], "Social Security-OASDI")</f>
        <v>269.35000000000002</v>
      </c>
      <c r="F56" s="15">
        <f t="shared" si="1"/>
        <v>2747.3</v>
      </c>
      <c r="G56" s="374"/>
    </row>
    <row r="57" spans="1:7" x14ac:dyDescent="0.25">
      <c r="A57" s="374"/>
      <c r="B57" s="20"/>
      <c r="C57" s="3" t="s">
        <v>80</v>
      </c>
      <c r="D57" s="4">
        <f>'FY2020 July Account'!F57</f>
        <v>705.5</v>
      </c>
      <c r="E57" s="4">
        <f>SUMIFS(TraFY2020Aug[[ Amount]],TraFY2020Aug[[ Acct Desc]], "*Hospital Ins*")</f>
        <v>62.99</v>
      </c>
      <c r="F57" s="15">
        <f t="shared" si="1"/>
        <v>642.51</v>
      </c>
      <c r="G57" s="374"/>
    </row>
    <row r="58" spans="1:7" x14ac:dyDescent="0.25">
      <c r="A58" s="374"/>
      <c r="B58" s="16" t="s">
        <v>81</v>
      </c>
      <c r="C58" s="2"/>
      <c r="D58" s="5">
        <f>'FY2020 July Account'!F58</f>
        <v>63746.68</v>
      </c>
      <c r="E58" s="6">
        <f>SUM(E53:E57)</f>
        <v>5682.4700000000012</v>
      </c>
      <c r="F58" s="21">
        <f>(D58-E58)</f>
        <v>58064.21</v>
      </c>
      <c r="G58" s="374"/>
    </row>
    <row r="59" spans="1:7" x14ac:dyDescent="0.25">
      <c r="A59" s="374"/>
      <c r="B59" s="20"/>
      <c r="C59" s="3"/>
      <c r="D59" s="3"/>
      <c r="E59" s="3"/>
      <c r="F59" s="19"/>
      <c r="G59" s="374"/>
    </row>
    <row r="60" spans="1:7" x14ac:dyDescent="0.25">
      <c r="A60" s="374"/>
      <c r="B60" s="13" t="s">
        <v>82</v>
      </c>
      <c r="C60" s="2"/>
      <c r="D60" s="2"/>
      <c r="E60" s="2"/>
      <c r="F60" s="14"/>
      <c r="G60" s="374"/>
    </row>
    <row r="61" spans="1:7" x14ac:dyDescent="0.25">
      <c r="A61" s="374"/>
      <c r="B61" s="20"/>
      <c r="C61" s="3" t="s">
        <v>83</v>
      </c>
      <c r="D61" s="4">
        <f>'FY2020 July Account'!F61</f>
        <v>17000</v>
      </c>
      <c r="E61" s="4">
        <f>SUMIFS(TraFY2020Aug[[ Amount]],TraFY2020Aug[[ Trans ID]], "*STIP_ASG_LIA*")</f>
        <v>0</v>
      </c>
      <c r="F61" s="15">
        <f t="shared" ref="F61" si="2">(D61-E61)</f>
        <v>17000</v>
      </c>
      <c r="G61" s="374"/>
    </row>
    <row r="62" spans="1:7" x14ac:dyDescent="0.25">
      <c r="A62" s="374"/>
      <c r="B62" s="16" t="s">
        <v>84</v>
      </c>
      <c r="C62" s="2"/>
      <c r="D62" s="5">
        <f>'FY2020 July Account'!F62</f>
        <v>17000</v>
      </c>
      <c r="E62" s="6">
        <f>SUM(E61:E61)</f>
        <v>0</v>
      </c>
      <c r="F62" s="21">
        <f>(D62-E62)</f>
        <v>17000</v>
      </c>
      <c r="G62" s="374"/>
    </row>
    <row r="63" spans="1:7" x14ac:dyDescent="0.25">
      <c r="A63" s="374"/>
      <c r="B63" s="20"/>
      <c r="C63" s="3"/>
      <c r="D63" s="3"/>
      <c r="E63" s="3"/>
      <c r="F63" s="19"/>
      <c r="G63" s="374"/>
    </row>
    <row r="64" spans="1:7" x14ac:dyDescent="0.25">
      <c r="A64" s="374"/>
      <c r="B64" s="69" t="s">
        <v>85</v>
      </c>
      <c r="C64" s="70"/>
      <c r="D64" s="71">
        <f>'FY2020 July Account'!F64</f>
        <v>105496.68000000001</v>
      </c>
      <c r="E64" s="71">
        <f>SUM(E50, E58, E62)</f>
        <v>8157.4700000000012</v>
      </c>
      <c r="F64" s="72">
        <f>(D64-E64)</f>
        <v>97339.21</v>
      </c>
      <c r="G64" s="374"/>
    </row>
    <row r="65" spans="1:7" x14ac:dyDescent="0.25">
      <c r="A65" s="374"/>
      <c r="B65" s="20"/>
      <c r="C65" s="3"/>
      <c r="D65" s="3"/>
      <c r="E65" s="3"/>
      <c r="F65" s="19"/>
      <c r="G65" s="374"/>
    </row>
    <row r="66" spans="1:7" x14ac:dyDescent="0.25">
      <c r="A66" s="374"/>
      <c r="B66" s="58" t="s">
        <v>130</v>
      </c>
      <c r="C66" s="59"/>
      <c r="D66" s="59"/>
      <c r="E66" s="59"/>
      <c r="F66" s="60"/>
      <c r="G66" s="374"/>
    </row>
    <row r="67" spans="1:7" x14ac:dyDescent="0.25">
      <c r="A67" s="374"/>
      <c r="B67" s="18"/>
      <c r="C67" s="3"/>
      <c r="D67" s="3"/>
      <c r="E67" s="3"/>
      <c r="F67" s="19"/>
      <c r="G67" s="374"/>
    </row>
    <row r="68" spans="1:7" x14ac:dyDescent="0.25">
      <c r="A68" s="374"/>
      <c r="B68" s="13" t="s">
        <v>86</v>
      </c>
      <c r="C68" s="2"/>
      <c r="D68" s="2"/>
      <c r="E68" s="2"/>
      <c r="F68" s="14"/>
      <c r="G68" s="374"/>
    </row>
    <row r="69" spans="1:7" x14ac:dyDescent="0.25">
      <c r="A69" s="374"/>
      <c r="B69" s="20"/>
      <c r="C69" s="3" t="s">
        <v>87</v>
      </c>
      <c r="D69" s="4">
        <f>'FY2020 July Account'!F69</f>
        <v>174</v>
      </c>
      <c r="E69" s="4">
        <f>SUMIFS(TraFY2020Aug[[ Amount]],TraFY2020Aug[[ Acct Desc]], "Teleph*")</f>
        <v>0</v>
      </c>
      <c r="F69" s="15">
        <f t="shared" ref="F69:F70" si="3">(D69-E69)</f>
        <v>174</v>
      </c>
      <c r="G69" s="374"/>
    </row>
    <row r="70" spans="1:7" x14ac:dyDescent="0.25">
      <c r="A70" s="374"/>
      <c r="B70" s="20"/>
      <c r="C70" s="3" t="s">
        <v>88</v>
      </c>
      <c r="D70" s="4">
        <f>'FY2020 July Account'!F70</f>
        <v>1000</v>
      </c>
      <c r="E70" s="4">
        <f>SUMIFS(TraFY2020Aug[[ Amount]],TraFY2020Aug[[ Acct Desc]], "*Supplies*") + SUMIFS(TraFY2020Aug[[ Amount]],TraFY2020Aug[[ Acct Desc]], "*Pcard*")</f>
        <v>7.58</v>
      </c>
      <c r="F70" s="15">
        <f t="shared" si="3"/>
        <v>992.42</v>
      </c>
      <c r="G70" s="374"/>
    </row>
    <row r="71" spans="1:7" x14ac:dyDescent="0.25">
      <c r="A71" s="374"/>
      <c r="B71" s="16" t="s">
        <v>89</v>
      </c>
      <c r="C71" s="2"/>
      <c r="D71" s="5">
        <f>'FY2020 July Account'!F71</f>
        <v>1174</v>
      </c>
      <c r="E71" s="6">
        <f>SUM(E69:E70)</f>
        <v>7.58</v>
      </c>
      <c r="F71" s="21">
        <f>(D71-E71)</f>
        <v>1166.42</v>
      </c>
      <c r="G71" s="374"/>
    </row>
    <row r="72" spans="1:7" x14ac:dyDescent="0.25">
      <c r="A72" s="374"/>
      <c r="B72" s="20"/>
      <c r="C72" s="3"/>
      <c r="D72" s="3"/>
      <c r="E72" s="3"/>
      <c r="F72" s="19"/>
      <c r="G72" s="374"/>
    </row>
    <row r="73" spans="1:7" x14ac:dyDescent="0.25">
      <c r="A73" s="374"/>
      <c r="B73" s="13" t="s">
        <v>90</v>
      </c>
      <c r="C73" s="2"/>
      <c r="D73" s="2"/>
      <c r="E73" s="2"/>
      <c r="F73" s="14"/>
      <c r="G73" s="374"/>
    </row>
    <row r="74" spans="1:7" x14ac:dyDescent="0.25">
      <c r="A74" s="374"/>
      <c r="B74" s="20"/>
      <c r="C74" s="3" t="s">
        <v>91</v>
      </c>
      <c r="D74" s="4">
        <f>'FY2020 July Account'!F74</f>
        <v>132</v>
      </c>
      <c r="E74" s="4">
        <f>SUMIFS(TraFY2020Aug[[ Amount]],TraFY2020Aug[[ Acct Desc]], "Internet Service") + SUMIFS(TraFY2020Aug[[ Amount]],TraFY2020Aug[[ Acct Desc]], "Software Subscriptions")</f>
        <v>0</v>
      </c>
      <c r="F74" s="15">
        <f t="shared" ref="F74:F76" si="4">(D74-E74)</f>
        <v>132</v>
      </c>
      <c r="G74" s="374"/>
    </row>
    <row r="75" spans="1:7" x14ac:dyDescent="0.25">
      <c r="A75" s="374"/>
      <c r="B75" s="20"/>
      <c r="C75" s="3" t="s">
        <v>92</v>
      </c>
      <c r="D75" s="4">
        <f>'FY2020 July Account'!F75</f>
        <v>1000</v>
      </c>
      <c r="E75" s="4">
        <v>0</v>
      </c>
      <c r="F75" s="15">
        <f t="shared" si="4"/>
        <v>1000</v>
      </c>
      <c r="G75" s="374"/>
    </row>
    <row r="76" spans="1:7" x14ac:dyDescent="0.25">
      <c r="A76" s="374"/>
      <c r="B76" s="20"/>
      <c r="C76" s="3" t="s">
        <v>93</v>
      </c>
      <c r="D76" s="4">
        <f>'FY2020 July Account'!F76</f>
        <v>500</v>
      </c>
      <c r="E76" s="4">
        <v>0</v>
      </c>
      <c r="F76" s="15">
        <f t="shared" si="4"/>
        <v>500</v>
      </c>
      <c r="G76" s="374"/>
    </row>
    <row r="77" spans="1:7" x14ac:dyDescent="0.25">
      <c r="A77" s="374"/>
      <c r="B77" s="16" t="s">
        <v>94</v>
      </c>
      <c r="C77" s="2"/>
      <c r="D77" s="5">
        <f>'FY2020 July Account'!F77</f>
        <v>1632</v>
      </c>
      <c r="E77" s="6">
        <f>SUM(E74:E76)</f>
        <v>0</v>
      </c>
      <c r="F77" s="21">
        <f>(D77-E77)</f>
        <v>1632</v>
      </c>
      <c r="G77" s="374"/>
    </row>
    <row r="78" spans="1:7" x14ac:dyDescent="0.25">
      <c r="A78" s="374"/>
      <c r="B78" s="20"/>
      <c r="C78" s="3"/>
      <c r="D78" s="3"/>
      <c r="E78" s="3"/>
      <c r="F78" s="19"/>
      <c r="G78" s="374"/>
    </row>
    <row r="79" spans="1:7" x14ac:dyDescent="0.25">
      <c r="A79" s="374"/>
      <c r="B79" s="61" t="s">
        <v>95</v>
      </c>
      <c r="C79" s="62"/>
      <c r="D79" s="63">
        <f>'FY2020 July Account'!F79</f>
        <v>2806</v>
      </c>
      <c r="E79" s="64">
        <f>SUM(E71, E77)</f>
        <v>7.58</v>
      </c>
      <c r="F79" s="65">
        <f>(D79-E79)</f>
        <v>2798.42</v>
      </c>
      <c r="G79" s="374"/>
    </row>
    <row r="80" spans="1:7" x14ac:dyDescent="0.25">
      <c r="A80" s="374"/>
      <c r="B80" s="20"/>
      <c r="C80" s="3"/>
      <c r="D80" s="3"/>
      <c r="E80" s="3"/>
      <c r="F80" s="19"/>
      <c r="G80" s="374"/>
    </row>
    <row r="81" spans="1:7" x14ac:dyDescent="0.25">
      <c r="A81" s="374"/>
      <c r="B81" s="51" t="s">
        <v>96</v>
      </c>
      <c r="C81" s="52"/>
      <c r="D81" s="52"/>
      <c r="E81" s="52"/>
      <c r="F81" s="53"/>
      <c r="G81" s="374"/>
    </row>
    <row r="82" spans="1:7" x14ac:dyDescent="0.25">
      <c r="A82" s="374"/>
      <c r="B82" s="18"/>
      <c r="C82" s="3"/>
      <c r="D82" s="3"/>
      <c r="E82" s="3"/>
      <c r="F82" s="19"/>
      <c r="G82" s="374"/>
    </row>
    <row r="83" spans="1:7" x14ac:dyDescent="0.25">
      <c r="A83" s="374"/>
      <c r="B83" s="13" t="s">
        <v>97</v>
      </c>
      <c r="C83" s="2"/>
      <c r="D83" s="2"/>
      <c r="E83" s="2"/>
      <c r="F83" s="14"/>
      <c r="G83" s="374"/>
    </row>
    <row r="84" spans="1:7" x14ac:dyDescent="0.25">
      <c r="A84" s="374"/>
      <c r="B84" s="20"/>
      <c r="C84" s="3" t="s">
        <v>98</v>
      </c>
      <c r="D84" s="4">
        <f>'FY2020 July Account'!F84</f>
        <v>35000</v>
      </c>
      <c r="E84" s="4">
        <f>SUMIFS(TraFY2020Aug[[ Amount]],TraFY2020Aug[[ Acct Desc]], "*Lodging")</f>
        <v>0</v>
      </c>
      <c r="F84" s="15">
        <f>(D84-E84)</f>
        <v>35000</v>
      </c>
      <c r="G84" s="374"/>
    </row>
    <row r="85" spans="1:7" x14ac:dyDescent="0.25">
      <c r="A85" s="374"/>
      <c r="B85" s="20"/>
      <c r="C85" s="3" t="s">
        <v>99</v>
      </c>
      <c r="D85" s="4">
        <f>'FY2020 July Account'!F85</f>
        <v>17500</v>
      </c>
      <c r="E85" s="4">
        <f>SUMIFS(TraFY2020Aug[[ Amount]],TraFY2020Aug[[ Acct Desc]], "*Ground")</f>
        <v>29</v>
      </c>
      <c r="F85" s="15">
        <f>(D85-E85)</f>
        <v>17471</v>
      </c>
      <c r="G85" s="374"/>
    </row>
    <row r="86" spans="1:7" x14ac:dyDescent="0.25">
      <c r="A86" s="374"/>
      <c r="B86" s="20"/>
      <c r="C86" s="3" t="s">
        <v>100</v>
      </c>
      <c r="D86" s="4">
        <f>'FY2020 July Account'!F86</f>
        <v>7000</v>
      </c>
      <c r="E86" s="4">
        <f>SUMIFS(TraFY2020Aug[[ Amount]],TraFY2020Aug[[ Acct Desc]], "*Meal*")</f>
        <v>0</v>
      </c>
      <c r="F86" s="15">
        <f t="shared" ref="F86" si="5">(D86-E86)</f>
        <v>7000</v>
      </c>
      <c r="G86" s="374"/>
    </row>
    <row r="87" spans="1:7" x14ac:dyDescent="0.25">
      <c r="A87" s="374"/>
      <c r="B87" s="16" t="s">
        <v>101</v>
      </c>
      <c r="C87" s="2"/>
      <c r="D87" s="5">
        <f>'FY2020 July Account'!F87</f>
        <v>59500</v>
      </c>
      <c r="E87" s="6">
        <f>SUM(E84:E86)</f>
        <v>29</v>
      </c>
      <c r="F87" s="21">
        <f>(D87-E87)</f>
        <v>59471</v>
      </c>
      <c r="G87" s="374"/>
    </row>
    <row r="88" spans="1:7" x14ac:dyDescent="0.25">
      <c r="A88" s="374"/>
      <c r="B88" s="20"/>
      <c r="C88" s="3"/>
      <c r="D88" s="3"/>
      <c r="E88" s="3"/>
      <c r="F88" s="19"/>
      <c r="G88" s="374"/>
    </row>
    <row r="89" spans="1:7" x14ac:dyDescent="0.25">
      <c r="A89" s="374"/>
      <c r="B89" s="13" t="s">
        <v>102</v>
      </c>
      <c r="C89" s="2"/>
      <c r="D89" s="2"/>
      <c r="E89" s="2"/>
      <c r="F89" s="14"/>
      <c r="G89" s="374"/>
    </row>
    <row r="90" spans="1:7" x14ac:dyDescent="0.25">
      <c r="A90" s="374"/>
      <c r="B90" s="20"/>
      <c r="C90" s="3" t="s">
        <v>103</v>
      </c>
      <c r="D90" s="4">
        <f>'FY2020 July Account'!F90</f>
        <v>3190.82</v>
      </c>
      <c r="E90" s="4">
        <v>0</v>
      </c>
      <c r="F90" s="15">
        <f t="shared" ref="F90:F92" si="6">(D90-E90)</f>
        <v>3190.82</v>
      </c>
      <c r="G90" s="374"/>
    </row>
    <row r="91" spans="1:7" x14ac:dyDescent="0.25">
      <c r="A91" s="374"/>
      <c r="B91" s="20"/>
      <c r="C91" s="3" t="s">
        <v>104</v>
      </c>
      <c r="D91" s="4">
        <f>'FY2020 July Account'!F91</f>
        <v>1000</v>
      </c>
      <c r="E91" s="4">
        <v>0</v>
      </c>
      <c r="F91" s="15">
        <f t="shared" si="6"/>
        <v>1000</v>
      </c>
      <c r="G91" s="374"/>
    </row>
    <row r="92" spans="1:7" x14ac:dyDescent="0.25">
      <c r="A92" s="374"/>
      <c r="B92" s="20"/>
      <c r="C92" s="3" t="s">
        <v>1993</v>
      </c>
      <c r="D92" s="4">
        <f>'FY2020 July Account'!F92</f>
        <v>3000</v>
      </c>
      <c r="E92" s="4">
        <v>0</v>
      </c>
      <c r="F92" s="15">
        <f t="shared" si="6"/>
        <v>3000</v>
      </c>
      <c r="G92" s="374"/>
    </row>
    <row r="93" spans="1:7" x14ac:dyDescent="0.25">
      <c r="A93" s="374"/>
      <c r="B93" s="16" t="s">
        <v>105</v>
      </c>
      <c r="C93" s="2"/>
      <c r="D93" s="5">
        <f>'FY2020 July Account'!F93</f>
        <v>7190.82</v>
      </c>
      <c r="E93" s="6">
        <f>SUM(E90:E92)</f>
        <v>0</v>
      </c>
      <c r="F93" s="21">
        <f>(D93-E93)</f>
        <v>7190.82</v>
      </c>
      <c r="G93" s="374"/>
    </row>
    <row r="94" spans="1:7" x14ac:dyDescent="0.25">
      <c r="A94" s="374"/>
      <c r="B94" s="20"/>
      <c r="C94" s="3"/>
      <c r="D94" s="3"/>
      <c r="E94" s="3"/>
      <c r="F94" s="19"/>
      <c r="G94" s="374"/>
    </row>
    <row r="95" spans="1:7" x14ac:dyDescent="0.25">
      <c r="A95" s="374"/>
      <c r="B95" s="54" t="s">
        <v>106</v>
      </c>
      <c r="C95" s="55"/>
      <c r="D95" s="56">
        <f>'FY2020 July Account'!F95</f>
        <v>66690.820000000007</v>
      </c>
      <c r="E95" s="56">
        <f>SUM(E87, E93)</f>
        <v>29</v>
      </c>
      <c r="F95" s="57">
        <f>(D95-E95)</f>
        <v>66661.820000000007</v>
      </c>
      <c r="G95" s="374"/>
    </row>
    <row r="96" spans="1:7" x14ac:dyDescent="0.25">
      <c r="A96" s="374"/>
      <c r="B96" s="20"/>
      <c r="C96" s="3"/>
      <c r="D96" s="3"/>
      <c r="E96" s="3"/>
      <c r="F96" s="19"/>
      <c r="G96" s="374"/>
    </row>
    <row r="97" spans="1:7" x14ac:dyDescent="0.25">
      <c r="A97" s="374"/>
      <c r="B97" s="44" t="s">
        <v>107</v>
      </c>
      <c r="C97" s="45"/>
      <c r="D97" s="45"/>
      <c r="E97" s="45"/>
      <c r="F97" s="46"/>
      <c r="G97" s="374"/>
    </row>
    <row r="98" spans="1:7" x14ac:dyDescent="0.25">
      <c r="A98" s="374"/>
      <c r="B98" s="18"/>
      <c r="C98" s="3"/>
      <c r="D98" s="3"/>
      <c r="E98" s="3"/>
      <c r="F98" s="19"/>
      <c r="G98" s="374"/>
    </row>
    <row r="99" spans="1:7" x14ac:dyDescent="0.25">
      <c r="A99" s="374"/>
      <c r="B99" s="13" t="s">
        <v>108</v>
      </c>
      <c r="C99" s="2"/>
      <c r="D99" s="2"/>
      <c r="E99" s="2"/>
      <c r="F99" s="14"/>
      <c r="G99" s="374"/>
    </row>
    <row r="100" spans="1:7" x14ac:dyDescent="0.25">
      <c r="A100" s="374"/>
      <c r="B100" s="20"/>
      <c r="C100" s="3" t="s">
        <v>109</v>
      </c>
      <c r="D100" s="4">
        <f>'FY2020 July Account'!F100</f>
        <v>3250</v>
      </c>
      <c r="E100" s="4">
        <v>0</v>
      </c>
      <c r="F100" s="15">
        <f t="shared" ref="F100" si="7">(D100-E100)</f>
        <v>3250</v>
      </c>
      <c r="G100" s="374"/>
    </row>
    <row r="101" spans="1:7" x14ac:dyDescent="0.25">
      <c r="A101" s="374"/>
      <c r="B101" s="16" t="s">
        <v>110</v>
      </c>
      <c r="C101" s="2"/>
      <c r="D101" s="5">
        <f>'FY2020 July Account'!F101</f>
        <v>3250</v>
      </c>
      <c r="E101" s="6">
        <f>SUM(E100:E100)</f>
        <v>0</v>
      </c>
      <c r="F101" s="21">
        <f>(D101-E101)</f>
        <v>3250</v>
      </c>
      <c r="G101" s="374"/>
    </row>
    <row r="102" spans="1:7" x14ac:dyDescent="0.25">
      <c r="A102" s="374"/>
      <c r="B102" s="20"/>
      <c r="C102" s="3"/>
      <c r="D102" s="3"/>
      <c r="E102" s="3"/>
      <c r="F102" s="19"/>
      <c r="G102" s="374"/>
    </row>
    <row r="103" spans="1:7" x14ac:dyDescent="0.25">
      <c r="A103" s="374"/>
      <c r="B103" s="13" t="s">
        <v>111</v>
      </c>
      <c r="C103" s="2"/>
      <c r="D103" s="2"/>
      <c r="E103" s="2"/>
      <c r="F103" s="14"/>
      <c r="G103" s="374"/>
    </row>
    <row r="104" spans="1:7" x14ac:dyDescent="0.25">
      <c r="A104" s="374"/>
      <c r="B104" s="20"/>
      <c r="C104" s="3" t="s">
        <v>112</v>
      </c>
      <c r="D104" s="4">
        <f>'FY2020 July Account'!F104</f>
        <v>17000</v>
      </c>
      <c r="E104" s="4">
        <f>SUMIFS(TraFY2020Aug[[ Amount]],TraFY2020Aug[[ Acct Desc]], "Transfer Out*")</f>
        <v>0</v>
      </c>
      <c r="F104" s="15">
        <f t="shared" ref="F104:F105" si="8">(D104-E104)</f>
        <v>17000</v>
      </c>
      <c r="G104" s="374"/>
    </row>
    <row r="105" spans="1:7" x14ac:dyDescent="0.25">
      <c r="A105" s="374"/>
      <c r="B105" s="20"/>
      <c r="C105" s="3" t="s">
        <v>1992</v>
      </c>
      <c r="D105" s="4">
        <f>'FY2020 July Account'!F105</f>
        <v>20000</v>
      </c>
      <c r="E105" s="4">
        <v>0</v>
      </c>
      <c r="F105" s="15">
        <f t="shared" si="8"/>
        <v>20000</v>
      </c>
      <c r="G105" s="374"/>
    </row>
    <row r="106" spans="1:7" x14ac:dyDescent="0.25">
      <c r="A106" s="374"/>
      <c r="B106" s="16" t="s">
        <v>113</v>
      </c>
      <c r="C106" s="2"/>
      <c r="D106" s="5">
        <f>'FY2020 July Account'!F106</f>
        <v>37000</v>
      </c>
      <c r="E106" s="6">
        <f>SUM(E104:E105)</f>
        <v>0</v>
      </c>
      <c r="F106" s="21">
        <f>(D106-E106)</f>
        <v>37000</v>
      </c>
      <c r="G106" s="374"/>
    </row>
    <row r="107" spans="1:7" x14ac:dyDescent="0.25">
      <c r="A107" s="374"/>
      <c r="B107" s="22"/>
      <c r="C107" s="3"/>
      <c r="D107" s="3"/>
      <c r="E107" s="3"/>
      <c r="F107" s="19"/>
      <c r="G107" s="374"/>
    </row>
    <row r="108" spans="1:7" x14ac:dyDescent="0.25">
      <c r="A108" s="374"/>
      <c r="B108" s="13" t="s">
        <v>114</v>
      </c>
      <c r="C108" s="2"/>
      <c r="D108" s="2"/>
      <c r="E108" s="2"/>
      <c r="F108" s="14"/>
      <c r="G108" s="374"/>
    </row>
    <row r="109" spans="1:7" x14ac:dyDescent="0.25">
      <c r="A109" s="374"/>
      <c r="B109" s="20"/>
      <c r="C109" s="3" t="s">
        <v>115</v>
      </c>
      <c r="D109" s="4">
        <f>'FY2020 July Account'!F109</f>
        <v>2000</v>
      </c>
      <c r="E109" s="4">
        <v>0</v>
      </c>
      <c r="F109" s="15">
        <f t="shared" ref="F109" si="9">(D109-E109)</f>
        <v>2000</v>
      </c>
      <c r="G109" s="374"/>
    </row>
    <row r="110" spans="1:7" x14ac:dyDescent="0.25">
      <c r="A110" s="374"/>
      <c r="B110" s="16" t="s">
        <v>116</v>
      </c>
      <c r="C110" s="2"/>
      <c r="D110" s="5">
        <f>'FY2020 July Account'!F110</f>
        <v>2000</v>
      </c>
      <c r="E110" s="6">
        <f>SUM(E109:E109)</f>
        <v>0</v>
      </c>
      <c r="F110" s="21">
        <f>(D110-E110)</f>
        <v>2000</v>
      </c>
      <c r="G110" s="374"/>
    </row>
    <row r="111" spans="1:7" x14ac:dyDescent="0.25">
      <c r="A111" s="374"/>
      <c r="B111" s="20"/>
      <c r="C111" s="3"/>
      <c r="D111" s="3"/>
      <c r="E111" s="3"/>
      <c r="F111" s="19"/>
      <c r="G111" s="374"/>
    </row>
    <row r="112" spans="1:7" x14ac:dyDescent="0.25">
      <c r="A112" s="374"/>
      <c r="B112" s="13" t="s">
        <v>117</v>
      </c>
      <c r="C112" s="2"/>
      <c r="D112" s="2"/>
      <c r="E112" s="2"/>
      <c r="F112" s="14"/>
      <c r="G112" s="374"/>
    </row>
    <row r="113" spans="1:7" x14ac:dyDescent="0.25">
      <c r="A113" s="374"/>
      <c r="B113" s="20"/>
      <c r="C113" s="3" t="s">
        <v>118</v>
      </c>
      <c r="D113" s="4">
        <f>'FY2020 July Account'!F113</f>
        <v>4500</v>
      </c>
      <c r="E113" s="4">
        <v>0</v>
      </c>
      <c r="F113" s="15">
        <f t="shared" ref="F113:F115" si="10">(D113-E113)</f>
        <v>4500</v>
      </c>
      <c r="G113" s="374"/>
    </row>
    <row r="114" spans="1:7" x14ac:dyDescent="0.25">
      <c r="A114" s="374"/>
      <c r="B114" s="20"/>
      <c r="C114" s="3" t="s">
        <v>119</v>
      </c>
      <c r="D114" s="4">
        <f>'FY2020 July Account'!F114</f>
        <v>3000</v>
      </c>
      <c r="E114" s="4">
        <v>0</v>
      </c>
      <c r="F114" s="15">
        <f t="shared" si="10"/>
        <v>3000</v>
      </c>
      <c r="G114" s="374"/>
    </row>
    <row r="115" spans="1:7" x14ac:dyDescent="0.25">
      <c r="A115" s="374"/>
      <c r="B115" s="20"/>
      <c r="C115" s="3" t="s">
        <v>120</v>
      </c>
      <c r="D115" s="4">
        <f>'FY2020 July Account'!F115</f>
        <v>4500</v>
      </c>
      <c r="E115" s="4">
        <v>0</v>
      </c>
      <c r="F115" s="15">
        <f t="shared" si="10"/>
        <v>4500</v>
      </c>
      <c r="G115" s="374"/>
    </row>
    <row r="116" spans="1:7" x14ac:dyDescent="0.25">
      <c r="A116" s="374"/>
      <c r="B116" s="16" t="s">
        <v>121</v>
      </c>
      <c r="C116" s="2"/>
      <c r="D116" s="5">
        <f>'FY2020 July Account'!F116</f>
        <v>12000</v>
      </c>
      <c r="E116" s="6">
        <f>SUM(E113:E115)</f>
        <v>0</v>
      </c>
      <c r="F116" s="21">
        <f>(D116-E116)</f>
        <v>12000</v>
      </c>
      <c r="G116" s="374"/>
    </row>
    <row r="117" spans="1:7" x14ac:dyDescent="0.25">
      <c r="A117" s="374"/>
      <c r="B117" s="20"/>
      <c r="C117" s="3"/>
      <c r="D117" s="3"/>
      <c r="E117" s="3"/>
      <c r="F117" s="19"/>
      <c r="G117" s="374"/>
    </row>
    <row r="118" spans="1:7" x14ac:dyDescent="0.25">
      <c r="A118" s="374"/>
      <c r="B118" s="47" t="s">
        <v>167</v>
      </c>
      <c r="C118" s="48"/>
      <c r="D118" s="49">
        <f>'FY2020 July Account'!F118</f>
        <v>54250</v>
      </c>
      <c r="E118" s="49">
        <f>SUM(E101, E106, E110, E116)</f>
        <v>0</v>
      </c>
      <c r="F118" s="50">
        <f>(D118-E118)</f>
        <v>54250</v>
      </c>
      <c r="G118" s="374"/>
    </row>
    <row r="119" spans="1:7" x14ac:dyDescent="0.25">
      <c r="A119" s="374"/>
      <c r="B119" s="20"/>
      <c r="C119" s="3"/>
      <c r="D119" s="3"/>
      <c r="E119" s="3"/>
      <c r="F119" s="19"/>
      <c r="G119" s="374"/>
    </row>
    <row r="120" spans="1:7" x14ac:dyDescent="0.25">
      <c r="A120" s="374"/>
      <c r="B120" s="38" t="s">
        <v>131</v>
      </c>
      <c r="C120" s="39"/>
      <c r="D120" s="39"/>
      <c r="E120" s="39"/>
      <c r="F120" s="40"/>
      <c r="G120" s="374"/>
    </row>
    <row r="121" spans="1:7" x14ac:dyDescent="0.25">
      <c r="A121" s="374"/>
      <c r="B121" s="18"/>
      <c r="C121" s="3"/>
      <c r="D121" s="3"/>
      <c r="E121" s="3"/>
      <c r="F121" s="19"/>
      <c r="G121" s="374"/>
    </row>
    <row r="122" spans="1:7" x14ac:dyDescent="0.25">
      <c r="A122" s="374"/>
      <c r="B122" s="13" t="s">
        <v>122</v>
      </c>
      <c r="C122" s="2"/>
      <c r="D122" s="2"/>
      <c r="E122" s="2"/>
      <c r="F122" s="14"/>
      <c r="G122" s="374"/>
    </row>
    <row r="123" spans="1:7" x14ac:dyDescent="0.25">
      <c r="A123" s="374"/>
      <c r="B123" s="20"/>
      <c r="C123" s="3" t="s">
        <v>123</v>
      </c>
      <c r="D123" s="4">
        <f>'FY2020 July Account'!F123</f>
        <v>26070</v>
      </c>
      <c r="E123" s="4">
        <f>SUMIFS(TraFY2020Aug[[ Amount]],TraFY2020Aug[[ Acct Desc]], "Fiscal Agent*")</f>
        <v>0</v>
      </c>
      <c r="F123" s="15">
        <f t="shared" ref="F123" si="11">(D123-E123)</f>
        <v>26070</v>
      </c>
      <c r="G123" s="374"/>
    </row>
    <row r="124" spans="1:7" x14ac:dyDescent="0.25">
      <c r="A124" s="374"/>
      <c r="B124" s="16" t="s">
        <v>124</v>
      </c>
      <c r="C124" s="2"/>
      <c r="D124" s="5">
        <f>'FY2020 July Account'!F124</f>
        <v>26070</v>
      </c>
      <c r="E124" s="6">
        <f>SUM(E123:E123)</f>
        <v>0</v>
      </c>
      <c r="F124" s="21">
        <f>(D124-E124)</f>
        <v>26070</v>
      </c>
      <c r="G124" s="374"/>
    </row>
    <row r="125" spans="1:7" x14ac:dyDescent="0.25">
      <c r="A125" s="374"/>
      <c r="B125" s="20"/>
      <c r="C125" s="3"/>
      <c r="D125" s="3"/>
      <c r="E125" s="3"/>
      <c r="F125" s="19"/>
      <c r="G125" s="374"/>
    </row>
    <row r="126" spans="1:7" x14ac:dyDescent="0.25">
      <c r="A126" s="374"/>
      <c r="B126" s="37" t="s">
        <v>125</v>
      </c>
      <c r="C126" s="41"/>
      <c r="D126" s="42">
        <f>'FY2020 July Account'!F126</f>
        <v>26070</v>
      </c>
      <c r="E126" s="42">
        <f>SUM(E124)</f>
        <v>0</v>
      </c>
      <c r="F126" s="43">
        <f>(D126-E126)</f>
        <v>26070</v>
      </c>
      <c r="G126" s="374"/>
    </row>
    <row r="127" spans="1:7" x14ac:dyDescent="0.25">
      <c r="A127" s="374"/>
      <c r="B127" s="23"/>
      <c r="C127" s="7"/>
      <c r="D127" s="7"/>
      <c r="E127" s="7"/>
      <c r="F127" s="24"/>
      <c r="G127" s="374"/>
    </row>
    <row r="128" spans="1:7" x14ac:dyDescent="0.25">
      <c r="A128" s="374"/>
      <c r="B128" s="23"/>
      <c r="C128" s="7"/>
      <c r="D128" s="7"/>
      <c r="E128" s="7"/>
      <c r="F128" s="24"/>
      <c r="G128" s="374"/>
    </row>
    <row r="129" spans="1:7" ht="15.75" x14ac:dyDescent="0.25">
      <c r="A129" s="374"/>
      <c r="B129" s="25" t="s">
        <v>171</v>
      </c>
      <c r="C129" s="8"/>
      <c r="D129" s="9"/>
      <c r="E129" s="10">
        <f>SUM(E34)</f>
        <v>20633.560000000001</v>
      </c>
      <c r="F129" s="26"/>
      <c r="G129" s="374"/>
    </row>
    <row r="130" spans="1:7" ht="15.75" x14ac:dyDescent="0.25">
      <c r="A130" s="374"/>
      <c r="B130" s="25" t="s">
        <v>172</v>
      </c>
      <c r="C130" s="8"/>
      <c r="D130" s="9"/>
      <c r="E130" s="10">
        <f>SUM(E64, E79, E95, E118, E126)</f>
        <v>8194.0500000000011</v>
      </c>
      <c r="F130" s="26"/>
      <c r="G130" s="374"/>
    </row>
    <row r="131" spans="1:7" ht="16.5" thickBot="1" x14ac:dyDescent="0.3">
      <c r="A131" s="374"/>
      <c r="B131" s="27" t="s">
        <v>2134</v>
      </c>
      <c r="C131" s="28"/>
      <c r="D131" s="29"/>
      <c r="E131" s="30">
        <f>(E129-E130)</f>
        <v>12439.51</v>
      </c>
      <c r="F131" s="31"/>
      <c r="G131" s="374"/>
    </row>
    <row r="132" spans="1:7" ht="15.75" thickBot="1" x14ac:dyDescent="0.3">
      <c r="A132" s="375" t="b">
        <f>IF(($E$129+$E$130)=(SUM('FY2020 August Transactions'!E:E)),TRUE,FALSE)</f>
        <v>1</v>
      </c>
      <c r="B132" s="376"/>
      <c r="C132" s="376"/>
      <c r="D132" s="376"/>
      <c r="E132" s="376"/>
      <c r="F132" s="376"/>
      <c r="G132" s="377"/>
    </row>
    <row r="134" spans="1:7" x14ac:dyDescent="0.25">
      <c r="C134" s="93"/>
    </row>
  </sheetData>
  <mergeCells count="7">
    <mergeCell ref="A132:G132"/>
    <mergeCell ref="A1:G1"/>
    <mergeCell ref="A2:A131"/>
    <mergeCell ref="B2:F3"/>
    <mergeCell ref="G2:G131"/>
    <mergeCell ref="B6:F6"/>
    <mergeCell ref="B36:F36"/>
  </mergeCells>
  <conditionalFormatting sqref="A1">
    <cfRule type="cellIs" dxfId="389" priority="8" operator="equal">
      <formula>TRUE</formula>
    </cfRule>
  </conditionalFormatting>
  <conditionalFormatting sqref="A1:A91 G2:G91 G93:G104 A93:A104 A106:A131 G106:G131">
    <cfRule type="cellIs" dxfId="388" priority="7" operator="equal">
      <formula>FALSE</formula>
    </cfRule>
  </conditionalFormatting>
  <conditionalFormatting sqref="A132:G132 G2:G91 A2:A91 A93:A104 G93:G104 G106:G131 A106:A131">
    <cfRule type="cellIs" dxfId="387" priority="6" operator="equal">
      <formula>TRUE</formula>
    </cfRule>
  </conditionalFormatting>
  <conditionalFormatting sqref="A132:G132">
    <cfRule type="cellIs" dxfId="386" priority="5" operator="equal">
      <formula>FALSE</formula>
    </cfRule>
  </conditionalFormatting>
  <conditionalFormatting sqref="A92 G92">
    <cfRule type="cellIs" dxfId="385" priority="4" operator="equal">
      <formula>FALSE</formula>
    </cfRule>
  </conditionalFormatting>
  <conditionalFormatting sqref="G92 A92">
    <cfRule type="cellIs" dxfId="384" priority="3" operator="equal">
      <formula>TRUE</formula>
    </cfRule>
  </conditionalFormatting>
  <conditionalFormatting sqref="A105 G105">
    <cfRule type="cellIs" dxfId="383" priority="2" operator="equal">
      <formula>FALSE</formula>
    </cfRule>
  </conditionalFormatting>
  <conditionalFormatting sqref="G105 A105">
    <cfRule type="cellIs" dxfId="382" priority="1" operator="equal">
      <formula>TRUE</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1A65C-53AF-4ABB-8CE1-D4FC4BF5CBCE}">
  <dimension ref="A1:H31"/>
  <sheetViews>
    <sheetView workbookViewId="0">
      <selection activeCell="D17" sqref="D17"/>
    </sheetView>
  </sheetViews>
  <sheetFormatPr defaultRowHeight="15" x14ac:dyDescent="0.25"/>
  <cols>
    <col min="1" max="1" width="10.7109375" customWidth="1"/>
    <col min="2" max="6" width="35.7109375" customWidth="1"/>
  </cols>
  <sheetData>
    <row r="1" spans="1:8" x14ac:dyDescent="0.25">
      <c r="A1" s="32" t="s">
        <v>0</v>
      </c>
      <c r="B1" s="32" t="s">
        <v>1</v>
      </c>
      <c r="C1" s="32" t="s">
        <v>2</v>
      </c>
      <c r="D1" s="32" t="s">
        <v>3</v>
      </c>
      <c r="E1" s="32" t="s">
        <v>4</v>
      </c>
      <c r="F1" s="33" t="s">
        <v>5</v>
      </c>
    </row>
    <row r="2" spans="1:8" ht="15.75" x14ac:dyDescent="0.25">
      <c r="A2" s="35">
        <v>487110</v>
      </c>
      <c r="B2" s="35" t="s">
        <v>36</v>
      </c>
      <c r="C2" s="35" t="s">
        <v>51</v>
      </c>
      <c r="D2" s="35" t="s">
        <v>52</v>
      </c>
      <c r="E2" s="35">
        <v>3517.45</v>
      </c>
      <c r="F2" s="34">
        <v>43683</v>
      </c>
    </row>
    <row r="3" spans="1:8" ht="15.75" x14ac:dyDescent="0.25">
      <c r="A3" s="35">
        <v>487110</v>
      </c>
      <c r="B3" s="35" t="s">
        <v>36</v>
      </c>
      <c r="C3" s="35" t="s">
        <v>49</v>
      </c>
      <c r="D3" s="35" t="s">
        <v>50</v>
      </c>
      <c r="E3" s="35">
        <v>2776.05</v>
      </c>
      <c r="F3" s="34">
        <v>43685</v>
      </c>
    </row>
    <row r="4" spans="1:8" ht="15.75" x14ac:dyDescent="0.25">
      <c r="A4" s="35">
        <v>487110</v>
      </c>
      <c r="B4" s="35" t="s">
        <v>36</v>
      </c>
      <c r="C4" s="35" t="s">
        <v>47</v>
      </c>
      <c r="D4" s="35" t="s">
        <v>48</v>
      </c>
      <c r="E4" s="35">
        <v>187.41</v>
      </c>
      <c r="F4" s="34">
        <v>43686</v>
      </c>
    </row>
    <row r="5" spans="1:8" ht="15.75" x14ac:dyDescent="0.25">
      <c r="A5" s="35">
        <v>531110</v>
      </c>
      <c r="B5" s="35" t="s">
        <v>27</v>
      </c>
      <c r="C5" s="35" t="s">
        <v>28</v>
      </c>
      <c r="D5" s="35" t="s">
        <v>29</v>
      </c>
      <c r="E5" s="35">
        <v>7.58</v>
      </c>
      <c r="F5" s="34">
        <v>43690</v>
      </c>
    </row>
    <row r="6" spans="1:8" ht="15.75" x14ac:dyDescent="0.25">
      <c r="A6" s="35">
        <v>526712</v>
      </c>
      <c r="B6" s="35" t="s">
        <v>14</v>
      </c>
      <c r="C6" s="35" t="s">
        <v>281</v>
      </c>
      <c r="D6" s="35" t="s">
        <v>1995</v>
      </c>
      <c r="E6" s="35">
        <v>29</v>
      </c>
      <c r="F6" s="34">
        <v>43691</v>
      </c>
    </row>
    <row r="7" spans="1:8" ht="15.75" x14ac:dyDescent="0.25">
      <c r="A7" s="35">
        <v>487110</v>
      </c>
      <c r="B7" s="35" t="s">
        <v>36</v>
      </c>
      <c r="C7" s="35" t="s">
        <v>45</v>
      </c>
      <c r="D7" s="35" t="s">
        <v>46</v>
      </c>
      <c r="E7" s="35">
        <v>3835.32</v>
      </c>
      <c r="F7" s="34">
        <v>43691</v>
      </c>
    </row>
    <row r="8" spans="1:8" ht="15.75" x14ac:dyDescent="0.25">
      <c r="A8" s="35">
        <v>487110</v>
      </c>
      <c r="B8" s="35" t="s">
        <v>36</v>
      </c>
      <c r="C8" s="35" t="s">
        <v>39</v>
      </c>
      <c r="D8" s="35" t="s">
        <v>40</v>
      </c>
      <c r="E8" s="35">
        <v>825.8</v>
      </c>
      <c r="F8" s="34">
        <v>43692</v>
      </c>
    </row>
    <row r="9" spans="1:8" ht="15.75" x14ac:dyDescent="0.25">
      <c r="A9" s="35">
        <v>487110</v>
      </c>
      <c r="B9" s="35" t="s">
        <v>36</v>
      </c>
      <c r="C9" s="35" t="s">
        <v>41</v>
      </c>
      <c r="D9" s="35" t="s">
        <v>42</v>
      </c>
      <c r="E9" s="35">
        <v>792.25</v>
      </c>
      <c r="F9" s="34">
        <v>43692</v>
      </c>
    </row>
    <row r="10" spans="1:8" ht="15.75" x14ac:dyDescent="0.25">
      <c r="A10" s="35">
        <v>487110</v>
      </c>
      <c r="B10" s="35" t="s">
        <v>36</v>
      </c>
      <c r="C10" s="35" t="s">
        <v>43</v>
      </c>
      <c r="D10" s="35" t="s">
        <v>44</v>
      </c>
      <c r="E10" s="35">
        <v>1048.06</v>
      </c>
      <c r="F10" s="34">
        <v>43692</v>
      </c>
    </row>
    <row r="11" spans="1:8" ht="15.75" x14ac:dyDescent="0.25">
      <c r="A11" s="35">
        <v>487110</v>
      </c>
      <c r="B11" s="35" t="s">
        <v>36</v>
      </c>
      <c r="C11" s="35" t="s">
        <v>1996</v>
      </c>
      <c r="D11" s="35" t="s">
        <v>1997</v>
      </c>
      <c r="E11" s="35">
        <v>3295.3</v>
      </c>
      <c r="F11" s="34">
        <v>43693</v>
      </c>
    </row>
    <row r="12" spans="1:8" ht="15.75" x14ac:dyDescent="0.25">
      <c r="A12" s="35">
        <v>558310</v>
      </c>
      <c r="B12" s="35" t="s">
        <v>1382</v>
      </c>
      <c r="C12" s="35" t="s">
        <v>1998</v>
      </c>
      <c r="D12" s="35" t="s">
        <v>1999</v>
      </c>
      <c r="E12" s="35">
        <v>242</v>
      </c>
      <c r="F12" s="34">
        <v>43697</v>
      </c>
      <c r="H12" t="s">
        <v>2113</v>
      </c>
    </row>
    <row r="13" spans="1:8" ht="15.75" x14ac:dyDescent="0.25">
      <c r="A13" s="35">
        <v>558310</v>
      </c>
      <c r="B13" s="35" t="s">
        <v>1382</v>
      </c>
      <c r="C13" s="35" t="s">
        <v>2000</v>
      </c>
      <c r="D13" s="35" t="s">
        <v>1999</v>
      </c>
      <c r="E13" s="35">
        <v>179</v>
      </c>
      <c r="F13" s="34">
        <v>43697</v>
      </c>
      <c r="H13" t="s">
        <v>2113</v>
      </c>
    </row>
    <row r="14" spans="1:8" ht="15.75" x14ac:dyDescent="0.25">
      <c r="A14" s="35">
        <v>558979</v>
      </c>
      <c r="B14" s="35" t="s">
        <v>150</v>
      </c>
      <c r="C14" s="35" t="s">
        <v>1493</v>
      </c>
      <c r="D14" s="35" t="s">
        <v>2001</v>
      </c>
      <c r="E14" s="35">
        <v>200</v>
      </c>
      <c r="F14" s="34">
        <v>43698</v>
      </c>
    </row>
    <row r="15" spans="1:8" ht="15.75" x14ac:dyDescent="0.25">
      <c r="A15" s="35">
        <v>558979</v>
      </c>
      <c r="B15" s="35" t="s">
        <v>150</v>
      </c>
      <c r="C15" s="35" t="s">
        <v>2002</v>
      </c>
      <c r="D15" s="35" t="s">
        <v>2003</v>
      </c>
      <c r="E15" s="35">
        <v>225</v>
      </c>
      <c r="F15" s="34">
        <v>43698</v>
      </c>
    </row>
    <row r="16" spans="1:8" ht="15.75" x14ac:dyDescent="0.25">
      <c r="A16" s="35">
        <v>558979</v>
      </c>
      <c r="B16" s="35" t="s">
        <v>150</v>
      </c>
      <c r="C16" s="35" t="s">
        <v>15</v>
      </c>
      <c r="D16" s="35" t="s">
        <v>2004</v>
      </c>
      <c r="E16" s="35">
        <v>200</v>
      </c>
      <c r="F16" s="34">
        <v>43698</v>
      </c>
    </row>
    <row r="17" spans="1:6" ht="15.75" x14ac:dyDescent="0.25">
      <c r="A17" s="35">
        <v>558979</v>
      </c>
      <c r="B17" s="35" t="s">
        <v>150</v>
      </c>
      <c r="C17" s="35" t="s">
        <v>281</v>
      </c>
      <c r="D17" s="35" t="s">
        <v>2005</v>
      </c>
      <c r="E17" s="35">
        <v>650</v>
      </c>
      <c r="F17" s="34">
        <v>43698</v>
      </c>
    </row>
    <row r="18" spans="1:6" ht="15.75" x14ac:dyDescent="0.25">
      <c r="A18" s="35">
        <v>558979</v>
      </c>
      <c r="B18" s="35" t="s">
        <v>150</v>
      </c>
      <c r="C18" s="35" t="s">
        <v>1431</v>
      </c>
      <c r="D18" s="35" t="s">
        <v>2006</v>
      </c>
      <c r="E18" s="35">
        <v>200</v>
      </c>
      <c r="F18" s="34">
        <v>43698</v>
      </c>
    </row>
    <row r="19" spans="1:6" ht="15.75" x14ac:dyDescent="0.25">
      <c r="A19" s="35">
        <v>558979</v>
      </c>
      <c r="B19" s="35" t="s">
        <v>150</v>
      </c>
      <c r="C19" s="35" t="s">
        <v>1304</v>
      </c>
      <c r="D19" s="35" t="s">
        <v>2007</v>
      </c>
      <c r="E19" s="35">
        <v>400</v>
      </c>
      <c r="F19" s="34">
        <v>43698</v>
      </c>
    </row>
    <row r="20" spans="1:6" ht="15.75" x14ac:dyDescent="0.25">
      <c r="A20" s="35">
        <v>558979</v>
      </c>
      <c r="B20" s="35" t="s">
        <v>150</v>
      </c>
      <c r="C20" s="35" t="s">
        <v>1410</v>
      </c>
      <c r="D20" s="35" t="s">
        <v>2008</v>
      </c>
      <c r="E20" s="35">
        <v>200</v>
      </c>
      <c r="F20" s="34">
        <v>43698</v>
      </c>
    </row>
    <row r="21" spans="1:6" ht="15.75" x14ac:dyDescent="0.25">
      <c r="A21" s="35">
        <v>558979</v>
      </c>
      <c r="B21" s="35" t="s">
        <v>150</v>
      </c>
      <c r="C21" s="35" t="s">
        <v>21</v>
      </c>
      <c r="D21" s="35" t="s">
        <v>2009</v>
      </c>
      <c r="E21" s="35">
        <v>200</v>
      </c>
      <c r="F21" s="34">
        <v>43698</v>
      </c>
    </row>
    <row r="22" spans="1:6" ht="15.75" x14ac:dyDescent="0.25">
      <c r="A22" s="35">
        <v>558979</v>
      </c>
      <c r="B22" s="35" t="s">
        <v>150</v>
      </c>
      <c r="C22" s="35" t="s">
        <v>1531</v>
      </c>
      <c r="D22" s="35" t="s">
        <v>2010</v>
      </c>
      <c r="E22" s="35">
        <v>200</v>
      </c>
      <c r="F22" s="34">
        <v>43698</v>
      </c>
    </row>
    <row r="23" spans="1:6" ht="15.75" x14ac:dyDescent="0.25">
      <c r="A23" s="35">
        <v>487110</v>
      </c>
      <c r="B23" s="35" t="s">
        <v>36</v>
      </c>
      <c r="C23" s="35" t="s">
        <v>2011</v>
      </c>
      <c r="D23" s="35" t="s">
        <v>2012</v>
      </c>
      <c r="E23" s="35">
        <v>3107.93</v>
      </c>
      <c r="F23" s="34">
        <v>43698</v>
      </c>
    </row>
    <row r="24" spans="1:6" ht="15.75" x14ac:dyDescent="0.25">
      <c r="A24" s="35">
        <v>487110</v>
      </c>
      <c r="B24" s="35" t="s">
        <v>36</v>
      </c>
      <c r="C24" s="35" t="s">
        <v>2013</v>
      </c>
      <c r="D24" s="35" t="s">
        <v>2014</v>
      </c>
      <c r="E24" s="35">
        <v>463.86</v>
      </c>
      <c r="F24" s="34">
        <v>43698</v>
      </c>
    </row>
    <row r="25" spans="1:6" ht="15.75" x14ac:dyDescent="0.25">
      <c r="A25" s="35">
        <v>511120</v>
      </c>
      <c r="B25" s="35" t="s">
        <v>6</v>
      </c>
      <c r="C25" s="35" t="s">
        <v>7</v>
      </c>
      <c r="D25" s="35" t="s">
        <v>2015</v>
      </c>
      <c r="E25" s="35">
        <v>4416.6400000000003</v>
      </c>
      <c r="F25" s="34">
        <v>43707</v>
      </c>
    </row>
    <row r="26" spans="1:6" ht="15.75" x14ac:dyDescent="0.25">
      <c r="A26" s="35">
        <v>515120</v>
      </c>
      <c r="B26" s="35" t="s">
        <v>9</v>
      </c>
      <c r="C26" s="35" t="s">
        <v>7</v>
      </c>
      <c r="D26" s="35" t="s">
        <v>2015</v>
      </c>
      <c r="E26" s="35">
        <v>269.35000000000002</v>
      </c>
      <c r="F26" s="34">
        <v>43707</v>
      </c>
    </row>
    <row r="27" spans="1:6" ht="15.75" x14ac:dyDescent="0.25">
      <c r="A27" s="35">
        <v>515130</v>
      </c>
      <c r="B27" s="35" t="s">
        <v>10</v>
      </c>
      <c r="C27" s="35" t="s">
        <v>7</v>
      </c>
      <c r="D27" s="35" t="s">
        <v>2015</v>
      </c>
      <c r="E27" s="35">
        <v>62.99</v>
      </c>
      <c r="F27" s="34">
        <v>43707</v>
      </c>
    </row>
    <row r="28" spans="1:6" ht="15.75" x14ac:dyDescent="0.25">
      <c r="A28" s="35">
        <v>515410</v>
      </c>
      <c r="B28" s="35" t="s">
        <v>11</v>
      </c>
      <c r="C28" s="35" t="s">
        <v>7</v>
      </c>
      <c r="D28" s="35" t="s">
        <v>2015</v>
      </c>
      <c r="E28" s="35">
        <v>302.10000000000002</v>
      </c>
      <c r="F28" s="34">
        <v>43707</v>
      </c>
    </row>
    <row r="29" spans="1:6" ht="15.75" x14ac:dyDescent="0.25">
      <c r="A29" s="35">
        <v>515420</v>
      </c>
      <c r="B29" s="35" t="s">
        <v>12</v>
      </c>
      <c r="C29" s="35" t="s">
        <v>7</v>
      </c>
      <c r="D29" s="35" t="s">
        <v>2015</v>
      </c>
      <c r="E29" s="35">
        <v>283.11</v>
      </c>
      <c r="F29" s="34">
        <v>43707</v>
      </c>
    </row>
    <row r="30" spans="1:6" ht="15.75" x14ac:dyDescent="0.25">
      <c r="A30" s="35">
        <v>515530</v>
      </c>
      <c r="B30" s="35" t="s">
        <v>13</v>
      </c>
      <c r="C30" s="35" t="s">
        <v>7</v>
      </c>
      <c r="D30" s="35" t="s">
        <v>2015</v>
      </c>
      <c r="E30" s="35">
        <v>348.28</v>
      </c>
      <c r="F30" s="34">
        <v>43707</v>
      </c>
    </row>
    <row r="31" spans="1:6" ht="15.75" x14ac:dyDescent="0.25">
      <c r="A31" s="35">
        <v>431210</v>
      </c>
      <c r="B31" s="35" t="s">
        <v>33</v>
      </c>
      <c r="C31" s="35" t="s">
        <v>2016</v>
      </c>
      <c r="D31" s="35" t="s">
        <v>2017</v>
      </c>
      <c r="E31" s="35">
        <v>363.13</v>
      </c>
      <c r="F31" s="34">
        <v>43708</v>
      </c>
    </row>
  </sheetData>
  <phoneticPr fontId="26" type="noConversion"/>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C5695-7164-47A4-A3F6-9B5DC618D09C}">
  <sheetPr>
    <pageSetUpPr autoPageBreaks="0"/>
  </sheetPr>
  <dimension ref="A1:G133"/>
  <sheetViews>
    <sheetView zoomScaleNormal="100" workbookViewId="0">
      <selection activeCell="D35" sqref="D35"/>
    </sheetView>
  </sheetViews>
  <sheetFormatPr defaultRowHeight="15" x14ac:dyDescent="0.25"/>
  <cols>
    <col min="1" max="1" width="3.28515625" style="36" customWidth="1"/>
    <col min="2" max="6" width="40.7109375" customWidth="1"/>
    <col min="7" max="7" width="3.28515625" customWidth="1"/>
  </cols>
  <sheetData>
    <row r="1" spans="1:7" s="36" customFormat="1" ht="15.75" thickBot="1" x14ac:dyDescent="0.3">
      <c r="A1" s="371" t="b">
        <f>IF(($E$129+$E$130)=(SUM('FY2020 July Transactions'!E:E)),TRUE,FALSE)</f>
        <v>1</v>
      </c>
      <c r="B1" s="372"/>
      <c r="C1" s="372"/>
      <c r="D1" s="372"/>
      <c r="E1" s="372"/>
      <c r="F1" s="372"/>
      <c r="G1" s="373"/>
    </row>
    <row r="2" spans="1:7" ht="26.25" customHeight="1" x14ac:dyDescent="0.25">
      <c r="A2" s="374" t="b">
        <f>IF(($E$129+$E$130)=(SUM('FY2020 July Transactions'!E:E)),TRUE,FALSE)</f>
        <v>1</v>
      </c>
      <c r="B2" s="350" t="s">
        <v>141</v>
      </c>
      <c r="C2" s="351"/>
      <c r="D2" s="351"/>
      <c r="E2" s="351"/>
      <c r="F2" s="352"/>
      <c r="G2" s="374" t="b">
        <f>IF(($E$129+$E$130)=(SUM('FY2020 July Transactions'!E:E)),TRUE,FALSE)</f>
        <v>1</v>
      </c>
    </row>
    <row r="3" spans="1:7" ht="26.25" customHeight="1" x14ac:dyDescent="0.25">
      <c r="A3" s="374"/>
      <c r="B3" s="353"/>
      <c r="C3" s="354"/>
      <c r="D3" s="354"/>
      <c r="E3" s="354"/>
      <c r="F3" s="355"/>
      <c r="G3" s="374"/>
    </row>
    <row r="4" spans="1:7" ht="15.75" x14ac:dyDescent="0.25">
      <c r="A4" s="374"/>
      <c r="B4" s="94" t="s">
        <v>53</v>
      </c>
      <c r="C4" s="95" t="s">
        <v>54</v>
      </c>
      <c r="D4" s="95" t="s">
        <v>2111</v>
      </c>
      <c r="E4" s="95" t="s">
        <v>168</v>
      </c>
      <c r="F4" s="96" t="s">
        <v>2112</v>
      </c>
      <c r="G4" s="374"/>
    </row>
    <row r="5" spans="1:7" ht="15.75" x14ac:dyDescent="0.25">
      <c r="A5" s="374"/>
      <c r="B5" s="11"/>
      <c r="C5" s="1"/>
      <c r="D5" s="1"/>
      <c r="E5" s="1"/>
      <c r="F5" s="12"/>
      <c r="G5" s="374"/>
    </row>
    <row r="6" spans="1:7" s="36" customFormat="1" ht="15.75" x14ac:dyDescent="0.25">
      <c r="A6" s="374"/>
      <c r="B6" s="344" t="s">
        <v>1979</v>
      </c>
      <c r="C6" s="345"/>
      <c r="D6" s="345"/>
      <c r="E6" s="345"/>
      <c r="F6" s="346"/>
      <c r="G6" s="374"/>
    </row>
    <row r="7" spans="1:7" s="36" customFormat="1" ht="15.75" x14ac:dyDescent="0.25">
      <c r="A7" s="374"/>
      <c r="B7" s="11"/>
      <c r="C7" s="1"/>
      <c r="D7" s="1"/>
      <c r="E7" s="1"/>
      <c r="F7" s="12"/>
      <c r="G7" s="374"/>
    </row>
    <row r="8" spans="1:7" x14ac:dyDescent="0.25">
      <c r="A8" s="374"/>
      <c r="B8" s="80" t="s">
        <v>132</v>
      </c>
      <c r="C8" s="81"/>
      <c r="D8" s="81"/>
      <c r="E8" s="81"/>
      <c r="F8" s="82"/>
      <c r="G8" s="374"/>
    </row>
    <row r="9" spans="1:7" ht="15.75" x14ac:dyDescent="0.25">
      <c r="A9" s="374"/>
      <c r="B9" s="11"/>
      <c r="C9" s="1"/>
      <c r="D9" s="1"/>
      <c r="E9" s="1"/>
      <c r="F9" s="12"/>
      <c r="G9" s="374"/>
    </row>
    <row r="10" spans="1:7" x14ac:dyDescent="0.25">
      <c r="A10" s="374"/>
      <c r="B10" s="13" t="s">
        <v>133</v>
      </c>
      <c r="C10" s="2"/>
      <c r="D10" s="2"/>
      <c r="E10" s="2"/>
      <c r="F10" s="14"/>
      <c r="G10" s="374"/>
    </row>
    <row r="11" spans="1:7" ht="15.75" x14ac:dyDescent="0.25">
      <c r="A11" s="374"/>
      <c r="B11" s="11"/>
      <c r="C11" s="3" t="s">
        <v>134</v>
      </c>
      <c r="D11" s="4">
        <f>'FY2020 Operating Budget'!C11</f>
        <v>209625.3</v>
      </c>
      <c r="E11" s="4">
        <f>E131</f>
        <v>-5414.590000000002</v>
      </c>
      <c r="F11" s="15">
        <f>(D11+E11)</f>
        <v>204210.71</v>
      </c>
      <c r="G11" s="374"/>
    </row>
    <row r="12" spans="1:7" x14ac:dyDescent="0.25">
      <c r="A12" s="374"/>
      <c r="B12" s="16" t="s">
        <v>136</v>
      </c>
      <c r="C12" s="2"/>
      <c r="D12" s="5">
        <f>'FY2020 Operating Budget'!C12</f>
        <v>209625.3</v>
      </c>
      <c r="E12" s="5">
        <f>SUM(E11:E11)</f>
        <v>-5414.590000000002</v>
      </c>
      <c r="F12" s="17">
        <f>(D12+E12)</f>
        <v>204210.71</v>
      </c>
      <c r="G12" s="374"/>
    </row>
    <row r="13" spans="1:7" ht="15.75" x14ac:dyDescent="0.25">
      <c r="A13" s="374"/>
      <c r="B13" s="11"/>
      <c r="C13" s="1"/>
      <c r="D13" s="1"/>
      <c r="E13" s="1"/>
      <c r="F13" s="12"/>
      <c r="G13" s="374"/>
    </row>
    <row r="14" spans="1:7" x14ac:dyDescent="0.25">
      <c r="A14" s="374"/>
      <c r="B14" s="13" t="s">
        <v>139</v>
      </c>
      <c r="C14" s="2"/>
      <c r="D14" s="2"/>
      <c r="E14" s="2"/>
      <c r="F14" s="14"/>
      <c r="G14" s="374"/>
    </row>
    <row r="15" spans="1:7" ht="15.75" x14ac:dyDescent="0.25">
      <c r="A15" s="374"/>
      <c r="B15" s="11"/>
      <c r="C15" s="3" t="s">
        <v>135</v>
      </c>
      <c r="D15" s="4">
        <f>'FY2020 Operating Budget'!C15</f>
        <v>0</v>
      </c>
      <c r="E15" s="4">
        <v>0</v>
      </c>
      <c r="F15" s="15">
        <f>(D15+E15)</f>
        <v>0</v>
      </c>
      <c r="G15" s="374"/>
    </row>
    <row r="16" spans="1:7" s="36" customFormat="1" ht="15.75" x14ac:dyDescent="0.25">
      <c r="A16" s="374"/>
      <c r="B16" s="11"/>
      <c r="C16" s="3" t="s">
        <v>140</v>
      </c>
      <c r="D16" s="4">
        <f>'FY2020 Operating Budget'!C16</f>
        <v>0</v>
      </c>
      <c r="E16" s="4">
        <v>0</v>
      </c>
      <c r="F16" s="15">
        <f>(D16+E16)</f>
        <v>0</v>
      </c>
      <c r="G16" s="374"/>
    </row>
    <row r="17" spans="1:7" x14ac:dyDescent="0.25">
      <c r="A17" s="374"/>
      <c r="B17" s="16" t="s">
        <v>137</v>
      </c>
      <c r="C17" s="2"/>
      <c r="D17" s="5">
        <f>'FY2020 Operating Budget'!C17</f>
        <v>0</v>
      </c>
      <c r="E17" s="5">
        <f>SUM(E15:E16)</f>
        <v>0</v>
      </c>
      <c r="F17" s="17">
        <f>(D17-E17)</f>
        <v>0</v>
      </c>
      <c r="G17" s="374"/>
    </row>
    <row r="18" spans="1:7" ht="15.75" x14ac:dyDescent="0.25">
      <c r="A18" s="374"/>
      <c r="B18" s="11"/>
      <c r="C18" s="1"/>
      <c r="D18" s="1"/>
      <c r="E18" s="1"/>
      <c r="F18" s="12"/>
      <c r="G18" s="374"/>
    </row>
    <row r="19" spans="1:7" x14ac:dyDescent="0.25">
      <c r="A19" s="374"/>
      <c r="B19" s="83" t="s">
        <v>138</v>
      </c>
      <c r="C19" s="84"/>
      <c r="D19" s="85">
        <f>'FY2020 Operating Budget'!C19</f>
        <v>209625.3</v>
      </c>
      <c r="E19" s="85">
        <f>SUM(E12,E17)</f>
        <v>-5414.590000000002</v>
      </c>
      <c r="F19" s="86">
        <f>(D19+E19)</f>
        <v>204210.71</v>
      </c>
      <c r="G19" s="374"/>
    </row>
    <row r="20" spans="1:7" ht="15.75" x14ac:dyDescent="0.25">
      <c r="A20" s="374"/>
      <c r="B20" s="11"/>
      <c r="C20" s="1"/>
      <c r="D20" s="1"/>
      <c r="E20" s="1"/>
      <c r="F20" s="12"/>
      <c r="G20" s="374"/>
    </row>
    <row r="21" spans="1:7" x14ac:dyDescent="0.25">
      <c r="A21" s="374"/>
      <c r="B21" s="73" t="s">
        <v>55</v>
      </c>
      <c r="C21" s="74"/>
      <c r="D21" s="74"/>
      <c r="E21" s="74"/>
      <c r="F21" s="75"/>
      <c r="G21" s="374"/>
    </row>
    <row r="22" spans="1:7" ht="15.75" x14ac:dyDescent="0.25">
      <c r="A22" s="374"/>
      <c r="B22" s="11"/>
      <c r="C22" s="1"/>
      <c r="D22" s="1"/>
      <c r="E22" s="1"/>
      <c r="F22" s="12"/>
      <c r="G22" s="374"/>
    </row>
    <row r="23" spans="1:7" x14ac:dyDescent="0.25">
      <c r="A23" s="374"/>
      <c r="B23" s="13" t="s">
        <v>56</v>
      </c>
      <c r="C23" s="2"/>
      <c r="D23" s="2"/>
      <c r="E23" s="2"/>
      <c r="F23" s="14"/>
      <c r="G23" s="374"/>
    </row>
    <row r="24" spans="1:7" ht="15.75" x14ac:dyDescent="0.25">
      <c r="A24" s="374"/>
      <c r="B24" s="11"/>
      <c r="C24" s="3" t="s">
        <v>57</v>
      </c>
      <c r="D24" s="4">
        <v>0</v>
      </c>
      <c r="E24" s="4">
        <f>SUMIFS(TraFY2020Jul[[ Amount]],TraFY2020Jul[[ Acct Desc]], "Transfer In*")</f>
        <v>699.22</v>
      </c>
      <c r="F24" s="15">
        <f>(D24+E24)</f>
        <v>699.22</v>
      </c>
      <c r="G24" s="374"/>
    </row>
    <row r="25" spans="1:7" ht="15.75" x14ac:dyDescent="0.25">
      <c r="A25" s="374"/>
      <c r="B25" s="11"/>
      <c r="C25" s="3" t="s">
        <v>129</v>
      </c>
      <c r="D25" s="4">
        <f>'FY2020 Operating Budget'!C25</f>
        <v>0</v>
      </c>
      <c r="E25" s="4">
        <f>SUMIFS(TraFY2020Jul[[ Amount]],TraFY2020Jul[[ Acct Desc]], "*Income*")</f>
        <v>377.85</v>
      </c>
      <c r="F25" s="15">
        <f>(D25+E25)</f>
        <v>377.85</v>
      </c>
      <c r="G25" s="374"/>
    </row>
    <row r="26" spans="1:7" s="36" customFormat="1" ht="15.75" x14ac:dyDescent="0.25">
      <c r="A26" s="374"/>
      <c r="B26" s="11"/>
      <c r="C26" s="3" t="s">
        <v>2019</v>
      </c>
      <c r="D26" s="4">
        <f>'FY2020 Operating Budget'!C26</f>
        <v>0</v>
      </c>
      <c r="E26" s="4">
        <v>0</v>
      </c>
      <c r="F26" s="15">
        <f>(D26+E26)</f>
        <v>0</v>
      </c>
      <c r="G26" s="374"/>
    </row>
    <row r="27" spans="1:7" x14ac:dyDescent="0.25">
      <c r="A27" s="374"/>
      <c r="B27" s="16" t="s">
        <v>58</v>
      </c>
      <c r="C27" s="2"/>
      <c r="D27" s="5">
        <f>SUM(D24:D25)</f>
        <v>0</v>
      </c>
      <c r="E27" s="5">
        <f>SUM(E24:E26)</f>
        <v>1077.0700000000002</v>
      </c>
      <c r="F27" s="17">
        <f>(D27+E27)</f>
        <v>1077.0700000000002</v>
      </c>
      <c r="G27" s="374"/>
    </row>
    <row r="28" spans="1:7" ht="15.75" x14ac:dyDescent="0.25">
      <c r="A28" s="374"/>
      <c r="B28" s="11"/>
      <c r="C28" s="1"/>
      <c r="D28" s="1"/>
      <c r="E28" s="1"/>
      <c r="F28" s="12"/>
      <c r="G28" s="374"/>
    </row>
    <row r="29" spans="1:7" x14ac:dyDescent="0.25">
      <c r="A29" s="374"/>
      <c r="B29" s="13" t="s">
        <v>59</v>
      </c>
      <c r="C29" s="2"/>
      <c r="D29" s="2"/>
      <c r="E29" s="2"/>
      <c r="F29" s="14"/>
      <c r="G29" s="374"/>
    </row>
    <row r="30" spans="1:7" ht="15.75" x14ac:dyDescent="0.25">
      <c r="A30" s="374"/>
      <c r="B30" s="11"/>
      <c r="C30" s="3" t="s">
        <v>60</v>
      </c>
      <c r="D30" s="4">
        <f>'FY2020 Operating Budget'!C30</f>
        <v>0</v>
      </c>
      <c r="E30" s="4">
        <v>0</v>
      </c>
      <c r="F30" s="15">
        <f>(D30+E30)</f>
        <v>0</v>
      </c>
      <c r="G30" s="374"/>
    </row>
    <row r="31" spans="1:7" s="36" customFormat="1" ht="15.75" x14ac:dyDescent="0.25">
      <c r="A31" s="374"/>
      <c r="B31" s="11"/>
      <c r="C31" s="3" t="s">
        <v>2018</v>
      </c>
      <c r="D31" s="4">
        <f>'FY2020 Operating Budget'!C31</f>
        <v>0</v>
      </c>
      <c r="E31" s="4">
        <v>0</v>
      </c>
      <c r="F31" s="15">
        <f>(D31+E31)</f>
        <v>0</v>
      </c>
      <c r="G31" s="374"/>
    </row>
    <row r="32" spans="1:7" x14ac:dyDescent="0.25">
      <c r="A32" s="374"/>
      <c r="B32" s="16" t="s">
        <v>61</v>
      </c>
      <c r="C32" s="2"/>
      <c r="D32" s="5">
        <f>'FY2020 Operating Budget'!C32</f>
        <v>0</v>
      </c>
      <c r="E32" s="5">
        <f>SUM(E30:E31)</f>
        <v>0</v>
      </c>
      <c r="F32" s="17">
        <f>(D32-E32)</f>
        <v>0</v>
      </c>
      <c r="G32" s="374"/>
    </row>
    <row r="33" spans="1:7" ht="15.75" x14ac:dyDescent="0.25">
      <c r="A33" s="374"/>
      <c r="B33" s="11"/>
      <c r="C33" s="1"/>
      <c r="D33" s="1"/>
      <c r="E33" s="1"/>
      <c r="F33" s="12"/>
      <c r="G33" s="374"/>
    </row>
    <row r="34" spans="1:7" x14ac:dyDescent="0.25">
      <c r="A34" s="374"/>
      <c r="B34" s="76" t="s">
        <v>62</v>
      </c>
      <c r="C34" s="77"/>
      <c r="D34" s="78">
        <v>0</v>
      </c>
      <c r="E34" s="78">
        <f>SUM(E27,E32)</f>
        <v>1077.0700000000002</v>
      </c>
      <c r="F34" s="79">
        <f>(D34+E34)</f>
        <v>1077.0700000000002</v>
      </c>
      <c r="G34" s="374"/>
    </row>
    <row r="35" spans="1:7" ht="15.75" x14ac:dyDescent="0.25">
      <c r="A35" s="374"/>
      <c r="B35" s="11"/>
      <c r="C35" s="1"/>
      <c r="D35" s="1"/>
      <c r="E35" s="1"/>
      <c r="F35" s="12"/>
      <c r="G35" s="374"/>
    </row>
    <row r="36" spans="1:7" s="36" customFormat="1" ht="15.75" x14ac:dyDescent="0.25">
      <c r="A36" s="374"/>
      <c r="B36" s="344" t="s">
        <v>169</v>
      </c>
      <c r="C36" s="345"/>
      <c r="D36" s="345"/>
      <c r="E36" s="345"/>
      <c r="F36" s="346"/>
      <c r="G36" s="374"/>
    </row>
    <row r="37" spans="1:7" s="36" customFormat="1" ht="15.75" x14ac:dyDescent="0.25">
      <c r="A37" s="374"/>
      <c r="B37" s="11"/>
      <c r="C37" s="1"/>
      <c r="D37" s="1"/>
      <c r="E37" s="1"/>
      <c r="F37" s="12"/>
      <c r="G37" s="374"/>
    </row>
    <row r="38" spans="1:7" x14ac:dyDescent="0.25">
      <c r="A38" s="374"/>
      <c r="B38" s="66" t="s">
        <v>63</v>
      </c>
      <c r="C38" s="67"/>
      <c r="D38" s="67"/>
      <c r="E38" s="67"/>
      <c r="F38" s="68"/>
      <c r="G38" s="374"/>
    </row>
    <row r="39" spans="1:7" x14ac:dyDescent="0.25">
      <c r="A39" s="374"/>
      <c r="B39" s="18"/>
      <c r="C39" s="3"/>
      <c r="D39" s="3"/>
      <c r="E39" s="3"/>
      <c r="F39" s="19"/>
      <c r="G39" s="374"/>
    </row>
    <row r="40" spans="1:7" x14ac:dyDescent="0.25">
      <c r="A40" s="374"/>
      <c r="B40" s="13" t="s">
        <v>64</v>
      </c>
      <c r="C40" s="2"/>
      <c r="D40" s="2"/>
      <c r="E40" s="2"/>
      <c r="F40" s="14"/>
      <c r="G40" s="374"/>
    </row>
    <row r="41" spans="1:7" x14ac:dyDescent="0.25">
      <c r="A41" s="374"/>
      <c r="B41" s="20"/>
      <c r="C41" s="3" t="s">
        <v>65</v>
      </c>
      <c r="D41" s="4">
        <f>'FY2020 Operating Budget'!C41</f>
        <v>6500</v>
      </c>
      <c r="E41" s="4">
        <f>SUMIFS(TraFY2020Jul[[ Amount]],TraFY2020Jul[[ Acct Desc]], "*STIP_ASG_ P*")</f>
        <v>0</v>
      </c>
      <c r="F41" s="15">
        <f>(D41-E41)</f>
        <v>6500</v>
      </c>
      <c r="G41" s="374"/>
    </row>
    <row r="42" spans="1:7" x14ac:dyDescent="0.25">
      <c r="A42" s="374"/>
      <c r="B42" s="20"/>
      <c r="C42" s="3" t="s">
        <v>66</v>
      </c>
      <c r="D42" s="4">
        <f>'FY2020 Operating Budget'!C42</f>
        <v>4000</v>
      </c>
      <c r="E42" s="4">
        <f>SUMIFS(TraFY2020Jul[[ Amount]],TraFY2020Jul[[ Acct Desc]], "*STIP_ASG_SVP*")</f>
        <v>0</v>
      </c>
      <c r="F42" s="15">
        <f t="shared" ref="F42:F49" si="0">(D42-E42)</f>
        <v>4000</v>
      </c>
      <c r="G42" s="374"/>
    </row>
    <row r="43" spans="1:7" x14ac:dyDescent="0.25">
      <c r="A43" s="374"/>
      <c r="B43" s="20"/>
      <c r="C43" s="3" t="s">
        <v>67</v>
      </c>
      <c r="D43" s="4">
        <f>'FY2020 Operating Budget'!C43</f>
        <v>2250</v>
      </c>
      <c r="E43" s="4">
        <f>SUMIFS(TraFY2020Jul[[ Amount]],TraFY2020Jul[[ Acct Desc]], "*STIP_ASG_ COS*")</f>
        <v>0</v>
      </c>
      <c r="F43" s="15">
        <f t="shared" si="0"/>
        <v>2250</v>
      </c>
      <c r="G43" s="374"/>
    </row>
    <row r="44" spans="1:7" x14ac:dyDescent="0.25">
      <c r="A44" s="374"/>
      <c r="B44" s="20"/>
      <c r="C44" s="3" t="s">
        <v>68</v>
      </c>
      <c r="D44" s="4">
        <f>'FY2020 Operating Budget'!C44</f>
        <v>2000</v>
      </c>
      <c r="E44" s="4">
        <f>SUMIFS(TraFY2020Jul[[ Amount]],TraFY2020Jul[[ Acct Desc]], "*STIP_ASG_VPGO*")</f>
        <v>0</v>
      </c>
      <c r="F44" s="15">
        <f t="shared" si="0"/>
        <v>2000</v>
      </c>
      <c r="G44" s="374"/>
    </row>
    <row r="45" spans="1:7" x14ac:dyDescent="0.25">
      <c r="A45" s="374"/>
      <c r="B45" s="20"/>
      <c r="C45" s="3" t="s">
        <v>69</v>
      </c>
      <c r="D45" s="4">
        <f>'FY2020 Operating Budget'!C45</f>
        <v>2000</v>
      </c>
      <c r="E45" s="4">
        <f>SUMIFS(TraFY2020Jul[[ Amount]],TraFY2020Jul[[ Acct Desc]], "*STIP_ASG_VPMO*")</f>
        <v>0</v>
      </c>
      <c r="F45" s="15">
        <f t="shared" si="0"/>
        <v>2000</v>
      </c>
      <c r="G45" s="374"/>
    </row>
    <row r="46" spans="1:7" x14ac:dyDescent="0.25">
      <c r="A46" s="374"/>
      <c r="B46" s="20"/>
      <c r="C46" s="3" t="s">
        <v>70</v>
      </c>
      <c r="D46" s="4">
        <f>'FY2020 Operating Budget'!C46</f>
        <v>2000</v>
      </c>
      <c r="E46" s="4">
        <f>SUMIFS(TraFY2020Jul[[ Amount]],TraFY2020Jul[[ Acct Desc]], "*STIP_ASG_VPCO*")</f>
        <v>0</v>
      </c>
      <c r="F46" s="15">
        <f t="shared" si="0"/>
        <v>2000</v>
      </c>
      <c r="G46" s="374"/>
    </row>
    <row r="47" spans="1:7" x14ac:dyDescent="0.25">
      <c r="A47" s="374"/>
      <c r="B47" s="20"/>
      <c r="C47" s="3" t="s">
        <v>71</v>
      </c>
      <c r="D47" s="4">
        <f>'FY2020 Operating Budget'!C47</f>
        <v>2000</v>
      </c>
      <c r="E47" s="4">
        <f>SUMIFS(TraFY2020Jul[[ Amount]],TraFY2020Jul[[ Acct Desc]], "*STIP_ASG_VPBF*")</f>
        <v>0</v>
      </c>
      <c r="F47" s="15">
        <f t="shared" si="0"/>
        <v>2000</v>
      </c>
      <c r="G47" s="374"/>
    </row>
    <row r="48" spans="1:7" x14ac:dyDescent="0.25">
      <c r="A48" s="374"/>
      <c r="B48" s="20"/>
      <c r="C48" s="3" t="s">
        <v>72</v>
      </c>
      <c r="D48" s="4">
        <f>'FY2020 Operating Budget'!C48</f>
        <v>2000</v>
      </c>
      <c r="E48" s="4">
        <f>SUMIFS(TraFY2020Jul[[ Amount]],TraFY2020Jul[[ Acct Desc]], "*STIP_ASG_GSR*")</f>
        <v>0</v>
      </c>
      <c r="F48" s="15">
        <f t="shared" si="0"/>
        <v>2000</v>
      </c>
      <c r="G48" s="374"/>
    </row>
    <row r="49" spans="1:7" x14ac:dyDescent="0.25">
      <c r="A49" s="374"/>
      <c r="B49" s="20"/>
      <c r="C49" s="3" t="s">
        <v>73</v>
      </c>
      <c r="D49" s="4">
        <f>'FY2020 Operating Budget'!C49</f>
        <v>2000</v>
      </c>
      <c r="E49" s="4">
        <f>SUMIFS(TraFY2020Jul[[ Amount]],TraFY2020Jul[[ Acct Desc]], "*STIP_ASG_MSIR*")</f>
        <v>0</v>
      </c>
      <c r="F49" s="15">
        <f t="shared" si="0"/>
        <v>2000</v>
      </c>
      <c r="G49" s="374"/>
    </row>
    <row r="50" spans="1:7" x14ac:dyDescent="0.25">
      <c r="A50" s="374"/>
      <c r="B50" s="16" t="s">
        <v>74</v>
      </c>
      <c r="C50" s="2"/>
      <c r="D50" s="5">
        <f>'FY2020 Operating Budget'!C50</f>
        <v>24750</v>
      </c>
      <c r="E50" s="6">
        <f>SUM(E41:E49)</f>
        <v>0</v>
      </c>
      <c r="F50" s="21">
        <f>(D50-E50)</f>
        <v>24750</v>
      </c>
      <c r="G50" s="374"/>
    </row>
    <row r="51" spans="1:7" x14ac:dyDescent="0.25">
      <c r="A51" s="374"/>
      <c r="B51" s="20"/>
      <c r="C51" s="3"/>
      <c r="D51" s="3"/>
      <c r="E51" s="3"/>
      <c r="F51" s="19"/>
      <c r="G51" s="374"/>
    </row>
    <row r="52" spans="1:7" x14ac:dyDescent="0.25">
      <c r="A52" s="374"/>
      <c r="B52" s="13" t="s">
        <v>75</v>
      </c>
      <c r="C52" s="2"/>
      <c r="D52" s="2"/>
      <c r="E52" s="2"/>
      <c r="F52" s="14"/>
      <c r="G52" s="374"/>
    </row>
    <row r="53" spans="1:7" x14ac:dyDescent="0.25">
      <c r="A53" s="374"/>
      <c r="B53" s="20"/>
      <c r="C53" s="3" t="s">
        <v>76</v>
      </c>
      <c r="D53" s="4">
        <f>'FY2020 Operating Budget'!C53</f>
        <v>53000</v>
      </c>
      <c r="E53" s="4">
        <f>SUMIFS(TraFY2020Jul[[ Amount]],TraFY2020Jul[[ Acct Desc]], "EHRA*")</f>
        <v>4416.6400000000003</v>
      </c>
      <c r="F53" s="15">
        <f>(D53-E53)</f>
        <v>48583.360000000001</v>
      </c>
      <c r="G53" s="374"/>
    </row>
    <row r="54" spans="1:7" x14ac:dyDescent="0.25">
      <c r="A54" s="374"/>
      <c r="B54" s="20"/>
      <c r="C54" s="3" t="s">
        <v>77</v>
      </c>
      <c r="D54" s="4">
        <f>'FY2020 Operating Budget'!C54</f>
        <v>6810.5</v>
      </c>
      <c r="E54" s="4">
        <f>SUMIFS(TraFY2020Jul[[ Amount]],TraFY2020Jul[[ Acct Desc]], "ORP-TIAA Ret*")</f>
        <v>302.10000000000002</v>
      </c>
      <c r="F54" s="15">
        <f t="shared" ref="F54:F57" si="1">(D54-E54)</f>
        <v>6508.4</v>
      </c>
      <c r="G54" s="374"/>
    </row>
    <row r="55" spans="1:7" x14ac:dyDescent="0.25">
      <c r="A55" s="374"/>
      <c r="B55" s="20"/>
      <c r="C55" s="3" t="s">
        <v>78</v>
      </c>
      <c r="D55" s="4">
        <f>'FY2020 Operating Budget'!C55</f>
        <v>5564.16</v>
      </c>
      <c r="E55" s="4">
        <f>SUMIFS(TraFY2020Jul[[ Amount]],TraFY2020Jul[[ Acct Desc]], "ORP-TIAA Hea*") + SUMIFS(TraFY2020Jul[[ Amount]],TraFY2020Jul[[ Acct Desc]], "Medical*")</f>
        <v>631.39</v>
      </c>
      <c r="F55" s="15">
        <f t="shared" si="1"/>
        <v>4932.7699999999995</v>
      </c>
      <c r="G55" s="374"/>
    </row>
    <row r="56" spans="1:7" x14ac:dyDescent="0.25">
      <c r="A56" s="374"/>
      <c r="B56" s="20"/>
      <c r="C56" s="3" t="s">
        <v>79</v>
      </c>
      <c r="D56" s="4">
        <f>'FY2020 Operating Budget'!C56</f>
        <v>3286</v>
      </c>
      <c r="E56" s="4">
        <f>SUMIFS(TraFY2020Jul[[ Amount]],TraFY2020Jul[[ Acct Desc]], "Social Security-OASDI")</f>
        <v>269.35000000000002</v>
      </c>
      <c r="F56" s="15">
        <f t="shared" si="1"/>
        <v>3016.65</v>
      </c>
      <c r="G56" s="374"/>
    </row>
    <row r="57" spans="1:7" x14ac:dyDescent="0.25">
      <c r="A57" s="374"/>
      <c r="B57" s="20"/>
      <c r="C57" s="3" t="s">
        <v>80</v>
      </c>
      <c r="D57" s="4">
        <f>'FY2020 Operating Budget'!C57</f>
        <v>768.5</v>
      </c>
      <c r="E57" s="4">
        <f>SUMIFS(TraFY2020Jul[[ Amount]],TraFY2020Jul[[ Acct Desc]], "*Hospital Ins*")</f>
        <v>63</v>
      </c>
      <c r="F57" s="15">
        <f t="shared" si="1"/>
        <v>705.5</v>
      </c>
      <c r="G57" s="374"/>
    </row>
    <row r="58" spans="1:7" x14ac:dyDescent="0.25">
      <c r="A58" s="374"/>
      <c r="B58" s="16" t="s">
        <v>81</v>
      </c>
      <c r="C58" s="2"/>
      <c r="D58" s="5">
        <f>'FY2020 Operating Budget'!C58</f>
        <v>69429.16</v>
      </c>
      <c r="E58" s="6">
        <f>SUM(E53:E57)</f>
        <v>5682.4800000000014</v>
      </c>
      <c r="F58" s="21">
        <f>(D58-E58)</f>
        <v>63746.68</v>
      </c>
      <c r="G58" s="374"/>
    </row>
    <row r="59" spans="1:7" x14ac:dyDescent="0.25">
      <c r="A59" s="374"/>
      <c r="B59" s="20"/>
      <c r="C59" s="3"/>
      <c r="D59" s="3"/>
      <c r="E59" s="3"/>
      <c r="F59" s="19"/>
      <c r="G59" s="374"/>
    </row>
    <row r="60" spans="1:7" x14ac:dyDescent="0.25">
      <c r="A60" s="374"/>
      <c r="B60" s="13" t="s">
        <v>82</v>
      </c>
      <c r="C60" s="2"/>
      <c r="D60" s="2"/>
      <c r="E60" s="2"/>
      <c r="F60" s="14"/>
      <c r="G60" s="374"/>
    </row>
    <row r="61" spans="1:7" x14ac:dyDescent="0.25">
      <c r="A61" s="374"/>
      <c r="B61" s="20"/>
      <c r="C61" s="3" t="s">
        <v>83</v>
      </c>
      <c r="D61" s="4">
        <f>'FY2020 Operating Budget'!C61</f>
        <v>17000</v>
      </c>
      <c r="E61" s="4">
        <f>SUMIFS(TraFY2020Jul[[ Amount]],TraFY2020Jul[[ Trans ID]], "*STIP_ASG_LIA*")</f>
        <v>0</v>
      </c>
      <c r="F61" s="15">
        <f t="shared" ref="F61" si="2">(D61-E61)</f>
        <v>17000</v>
      </c>
      <c r="G61" s="374"/>
    </row>
    <row r="62" spans="1:7" x14ac:dyDescent="0.25">
      <c r="A62" s="374"/>
      <c r="B62" s="16" t="s">
        <v>84</v>
      </c>
      <c r="C62" s="2"/>
      <c r="D62" s="5">
        <f>'FY2020 Operating Budget'!C62</f>
        <v>17000</v>
      </c>
      <c r="E62" s="6">
        <f>SUM(E61:E61)</f>
        <v>0</v>
      </c>
      <c r="F62" s="21">
        <f>(D62-E62)</f>
        <v>17000</v>
      </c>
      <c r="G62" s="374"/>
    </row>
    <row r="63" spans="1:7" x14ac:dyDescent="0.25">
      <c r="A63" s="374"/>
      <c r="B63" s="20"/>
      <c r="C63" s="3"/>
      <c r="D63" s="3"/>
      <c r="E63" s="3"/>
      <c r="F63" s="19"/>
      <c r="G63" s="374"/>
    </row>
    <row r="64" spans="1:7" x14ac:dyDescent="0.25">
      <c r="A64" s="374"/>
      <c r="B64" s="69" t="s">
        <v>85</v>
      </c>
      <c r="C64" s="70"/>
      <c r="D64" s="71">
        <f>'FY2020 Operating Budget'!C64</f>
        <v>111179.16</v>
      </c>
      <c r="E64" s="71">
        <f>SUM(E50, E58, E62)</f>
        <v>5682.4800000000014</v>
      </c>
      <c r="F64" s="72">
        <f>(D64-E64)</f>
        <v>105496.68000000001</v>
      </c>
      <c r="G64" s="374"/>
    </row>
    <row r="65" spans="1:7" x14ac:dyDescent="0.25">
      <c r="A65" s="374"/>
      <c r="B65" s="20"/>
      <c r="C65" s="3"/>
      <c r="D65" s="3"/>
      <c r="E65" s="3"/>
      <c r="F65" s="19"/>
      <c r="G65" s="374"/>
    </row>
    <row r="66" spans="1:7" x14ac:dyDescent="0.25">
      <c r="A66" s="374"/>
      <c r="B66" s="58" t="s">
        <v>130</v>
      </c>
      <c r="C66" s="59"/>
      <c r="D66" s="59"/>
      <c r="E66" s="59"/>
      <c r="F66" s="60"/>
      <c r="G66" s="374"/>
    </row>
    <row r="67" spans="1:7" x14ac:dyDescent="0.25">
      <c r="A67" s="374"/>
      <c r="B67" s="18"/>
      <c r="C67" s="3"/>
      <c r="D67" s="3"/>
      <c r="E67" s="3"/>
      <c r="F67" s="19"/>
      <c r="G67" s="374"/>
    </row>
    <row r="68" spans="1:7" x14ac:dyDescent="0.25">
      <c r="A68" s="374"/>
      <c r="B68" s="13" t="s">
        <v>86</v>
      </c>
      <c r="C68" s="2"/>
      <c r="D68" s="2"/>
      <c r="E68" s="2"/>
      <c r="F68" s="14"/>
      <c r="G68" s="374"/>
    </row>
    <row r="69" spans="1:7" x14ac:dyDescent="0.25">
      <c r="A69" s="374"/>
      <c r="B69" s="20"/>
      <c r="C69" s="3" t="s">
        <v>87</v>
      </c>
      <c r="D69" s="4">
        <f>'FY2020 Operating Budget'!C69</f>
        <v>174</v>
      </c>
      <c r="E69" s="4">
        <f>SUMIFS(TraFY2020Jul[[ Amount]],TraFY2020Jul[[ Acct Desc]], "Teleph*")</f>
        <v>0</v>
      </c>
      <c r="F69" s="15">
        <f t="shared" ref="F69:F70" si="3">(D69-E69)</f>
        <v>174</v>
      </c>
      <c r="G69" s="374"/>
    </row>
    <row r="70" spans="1:7" x14ac:dyDescent="0.25">
      <c r="A70" s="374"/>
      <c r="B70" s="20"/>
      <c r="C70" s="3" t="s">
        <v>88</v>
      </c>
      <c r="D70" s="4">
        <f>'FY2020 Operating Budget'!C70</f>
        <v>1000</v>
      </c>
      <c r="E70" s="4">
        <f>SUMIFS(TraFY2020Jul[[ Amount]],TraFY2020Jul[[ Acct Desc]], "*Supplies*") + SUMIFS(TraFY2020Jul[[ Amount]],TraFY2020Jul[[ Acct Desc]], "*Pcard*")</f>
        <v>0</v>
      </c>
      <c r="F70" s="15">
        <f t="shared" si="3"/>
        <v>1000</v>
      </c>
      <c r="G70" s="374"/>
    </row>
    <row r="71" spans="1:7" x14ac:dyDescent="0.25">
      <c r="A71" s="374"/>
      <c r="B71" s="16" t="s">
        <v>89</v>
      </c>
      <c r="C71" s="2"/>
      <c r="D71" s="5">
        <f>'FY2020 Operating Budget'!C71</f>
        <v>1174</v>
      </c>
      <c r="E71" s="6">
        <f>SUM(E69:E70)</f>
        <v>0</v>
      </c>
      <c r="F71" s="21">
        <f>(D71-E71)</f>
        <v>1174</v>
      </c>
      <c r="G71" s="374"/>
    </row>
    <row r="72" spans="1:7" x14ac:dyDescent="0.25">
      <c r="A72" s="374"/>
      <c r="B72" s="20"/>
      <c r="C72" s="3"/>
      <c r="D72" s="3"/>
      <c r="E72" s="3"/>
      <c r="F72" s="19"/>
      <c r="G72" s="374"/>
    </row>
    <row r="73" spans="1:7" x14ac:dyDescent="0.25">
      <c r="A73" s="374"/>
      <c r="B73" s="13" t="s">
        <v>90</v>
      </c>
      <c r="C73" s="2"/>
      <c r="D73" s="2"/>
      <c r="E73" s="2"/>
      <c r="F73" s="14"/>
      <c r="G73" s="374"/>
    </row>
    <row r="74" spans="1:7" x14ac:dyDescent="0.25">
      <c r="A74" s="374"/>
      <c r="B74" s="20"/>
      <c r="C74" s="3" t="s">
        <v>91</v>
      </c>
      <c r="D74" s="4">
        <f>'FY2020 Operating Budget'!C74</f>
        <v>132</v>
      </c>
      <c r="E74" s="4">
        <f>SUMIFS(TraFY2020Jul[[ Amount]],TraFY2020Jul[[ Acct Desc]], "Internet Service") + SUMIFS(TraFY2020Jul[[ Amount]],TraFY2020Jul[[ Acct Desc]], "Software Subscriptions")</f>
        <v>0</v>
      </c>
      <c r="F74" s="15">
        <f t="shared" ref="F74:F76" si="4">(D74-E74)</f>
        <v>132</v>
      </c>
      <c r="G74" s="374"/>
    </row>
    <row r="75" spans="1:7" x14ac:dyDescent="0.25">
      <c r="A75" s="374"/>
      <c r="B75" s="20"/>
      <c r="C75" s="3" t="s">
        <v>92</v>
      </c>
      <c r="D75" s="4">
        <f>'FY2020 Operating Budget'!C75</f>
        <v>1000</v>
      </c>
      <c r="E75" s="4">
        <v>0</v>
      </c>
      <c r="F75" s="15">
        <f t="shared" si="4"/>
        <v>1000</v>
      </c>
      <c r="G75" s="374"/>
    </row>
    <row r="76" spans="1:7" x14ac:dyDescent="0.25">
      <c r="A76" s="374"/>
      <c r="B76" s="20"/>
      <c r="C76" s="3" t="s">
        <v>93</v>
      </c>
      <c r="D76" s="4">
        <f>'FY2020 Operating Budget'!C76</f>
        <v>500</v>
      </c>
      <c r="E76" s="4">
        <v>0</v>
      </c>
      <c r="F76" s="15">
        <f t="shared" si="4"/>
        <v>500</v>
      </c>
      <c r="G76" s="374"/>
    </row>
    <row r="77" spans="1:7" x14ac:dyDescent="0.25">
      <c r="A77" s="374"/>
      <c r="B77" s="16" t="s">
        <v>94</v>
      </c>
      <c r="C77" s="2"/>
      <c r="D77" s="5">
        <f>'FY2020 Operating Budget'!C77</f>
        <v>1632</v>
      </c>
      <c r="E77" s="6">
        <f>SUM(E74:E76)</f>
        <v>0</v>
      </c>
      <c r="F77" s="21">
        <f>(D77-E77)</f>
        <v>1632</v>
      </c>
      <c r="G77" s="374"/>
    </row>
    <row r="78" spans="1:7" x14ac:dyDescent="0.25">
      <c r="A78" s="374"/>
      <c r="B78" s="20"/>
      <c r="C78" s="3"/>
      <c r="D78" s="3"/>
      <c r="E78" s="3"/>
      <c r="F78" s="19"/>
      <c r="G78" s="374"/>
    </row>
    <row r="79" spans="1:7" x14ac:dyDescent="0.25">
      <c r="A79" s="374"/>
      <c r="B79" s="61" t="s">
        <v>95</v>
      </c>
      <c r="C79" s="62"/>
      <c r="D79" s="63">
        <f>'FY2020 Operating Budget'!C79</f>
        <v>2806</v>
      </c>
      <c r="E79" s="64">
        <f>SUM(E71, E77)</f>
        <v>0</v>
      </c>
      <c r="F79" s="65">
        <f>(D79-E79)</f>
        <v>2806</v>
      </c>
      <c r="G79" s="374"/>
    </row>
    <row r="80" spans="1:7" x14ac:dyDescent="0.25">
      <c r="A80" s="374"/>
      <c r="B80" s="20"/>
      <c r="C80" s="3"/>
      <c r="D80" s="3"/>
      <c r="E80" s="3"/>
      <c r="F80" s="19"/>
      <c r="G80" s="374"/>
    </row>
    <row r="81" spans="1:7" x14ac:dyDescent="0.25">
      <c r="A81" s="374"/>
      <c r="B81" s="51" t="s">
        <v>96</v>
      </c>
      <c r="C81" s="52"/>
      <c r="D81" s="52"/>
      <c r="E81" s="52"/>
      <c r="F81" s="53"/>
      <c r="G81" s="374"/>
    </row>
    <row r="82" spans="1:7" x14ac:dyDescent="0.25">
      <c r="A82" s="374"/>
      <c r="B82" s="18"/>
      <c r="C82" s="3"/>
      <c r="D82" s="3"/>
      <c r="E82" s="3"/>
      <c r="F82" s="19"/>
      <c r="G82" s="374"/>
    </row>
    <row r="83" spans="1:7" x14ac:dyDescent="0.25">
      <c r="A83" s="374"/>
      <c r="B83" s="13" t="s">
        <v>97</v>
      </c>
      <c r="C83" s="2"/>
      <c r="D83" s="2"/>
      <c r="E83" s="2"/>
      <c r="F83" s="14"/>
      <c r="G83" s="374"/>
    </row>
    <row r="84" spans="1:7" x14ac:dyDescent="0.25">
      <c r="A84" s="374"/>
      <c r="B84" s="20"/>
      <c r="C84" s="3" t="s">
        <v>98</v>
      </c>
      <c r="D84" s="4">
        <f>'FY2020 Operating Budget'!C84</f>
        <v>35000</v>
      </c>
      <c r="E84" s="4">
        <v>0</v>
      </c>
      <c r="F84" s="15">
        <f>(D84-E84)</f>
        <v>35000</v>
      </c>
      <c r="G84" s="374"/>
    </row>
    <row r="85" spans="1:7" x14ac:dyDescent="0.25">
      <c r="A85" s="374"/>
      <c r="B85" s="20"/>
      <c r="C85" s="3" t="s">
        <v>99</v>
      </c>
      <c r="D85" s="4">
        <f>'FY2020 Operating Budget'!C85</f>
        <v>17500</v>
      </c>
      <c r="E85" s="4">
        <v>0</v>
      </c>
      <c r="F85" s="15">
        <f>(D85-E85)</f>
        <v>17500</v>
      </c>
      <c r="G85" s="374"/>
    </row>
    <row r="86" spans="1:7" x14ac:dyDescent="0.25">
      <c r="A86" s="374"/>
      <c r="B86" s="20"/>
      <c r="C86" s="3" t="s">
        <v>100</v>
      </c>
      <c r="D86" s="4">
        <f>'FY2020 Operating Budget'!C86</f>
        <v>7000</v>
      </c>
      <c r="E86" s="4">
        <v>0</v>
      </c>
      <c r="F86" s="15">
        <f t="shared" ref="F86" si="5">(D86-E86)</f>
        <v>7000</v>
      </c>
      <c r="G86" s="374"/>
    </row>
    <row r="87" spans="1:7" x14ac:dyDescent="0.25">
      <c r="A87" s="374"/>
      <c r="B87" s="16" t="s">
        <v>101</v>
      </c>
      <c r="C87" s="2"/>
      <c r="D87" s="5">
        <f>'FY2020 Operating Budget'!C87</f>
        <v>59500</v>
      </c>
      <c r="E87" s="6">
        <f>SUM(E84:E86)</f>
        <v>0</v>
      </c>
      <c r="F87" s="21">
        <f>(D87-E87)</f>
        <v>59500</v>
      </c>
      <c r="G87" s="374"/>
    </row>
    <row r="88" spans="1:7" x14ac:dyDescent="0.25">
      <c r="A88" s="374"/>
      <c r="B88" s="20"/>
      <c r="C88" s="3"/>
      <c r="D88" s="3"/>
      <c r="E88" s="3"/>
      <c r="F88" s="19"/>
      <c r="G88" s="374"/>
    </row>
    <row r="89" spans="1:7" x14ac:dyDescent="0.25">
      <c r="A89" s="374"/>
      <c r="B89" s="13" t="s">
        <v>102</v>
      </c>
      <c r="C89" s="2"/>
      <c r="D89" s="2"/>
      <c r="E89" s="2"/>
      <c r="F89" s="14"/>
      <c r="G89" s="374"/>
    </row>
    <row r="90" spans="1:7" x14ac:dyDescent="0.25">
      <c r="A90" s="374"/>
      <c r="B90" s="20"/>
      <c r="C90" s="3" t="s">
        <v>103</v>
      </c>
      <c r="D90" s="4">
        <f>'FY2020 Operating Budget'!C90</f>
        <v>4000</v>
      </c>
      <c r="E90" s="4">
        <f>SUMIFS(TraFY2020Jul[[ Amount]],TraFY2020Jul[[ Acct Desc]], "*Ground") + SUMIFS(TraFY2020Jul[[ Amount]],TraFY2020Jul[[ Acct Desc]], "*Meal*") + SUMIFS(TraFY2020Jul[[ Amount]],TraFY2020Jul[[ Acct Desc]], "*Lodging")</f>
        <v>809.18</v>
      </c>
      <c r="F90" s="15">
        <f t="shared" ref="F90:F92" si="6">(D90-E90)</f>
        <v>3190.82</v>
      </c>
      <c r="G90" s="374"/>
    </row>
    <row r="91" spans="1:7" x14ac:dyDescent="0.25">
      <c r="A91" s="374"/>
      <c r="B91" s="20"/>
      <c r="C91" s="3" t="s">
        <v>104</v>
      </c>
      <c r="D91" s="4">
        <f>'FY2020 Operating Budget'!C91</f>
        <v>1000</v>
      </c>
      <c r="E91" s="4">
        <v>0</v>
      </c>
      <c r="F91" s="15">
        <f t="shared" si="6"/>
        <v>1000</v>
      </c>
      <c r="G91" s="374"/>
    </row>
    <row r="92" spans="1:7" s="36" customFormat="1" x14ac:dyDescent="0.25">
      <c r="A92" s="374"/>
      <c r="B92" s="20"/>
      <c r="C92" s="3" t="s">
        <v>1993</v>
      </c>
      <c r="D92" s="4">
        <f>'FY2020 Operating Budget'!C92</f>
        <v>3000</v>
      </c>
      <c r="E92" s="4">
        <v>0</v>
      </c>
      <c r="F92" s="15">
        <f t="shared" si="6"/>
        <v>3000</v>
      </c>
      <c r="G92" s="374"/>
    </row>
    <row r="93" spans="1:7" x14ac:dyDescent="0.25">
      <c r="A93" s="374"/>
      <c r="B93" s="16" t="s">
        <v>105</v>
      </c>
      <c r="C93" s="2"/>
      <c r="D93" s="5">
        <f>'FY2020 Operating Budget'!C93</f>
        <v>8000</v>
      </c>
      <c r="E93" s="6">
        <f>SUM(E90:E92)</f>
        <v>809.18</v>
      </c>
      <c r="F93" s="21">
        <f>(D93-E93)</f>
        <v>7190.82</v>
      </c>
      <c r="G93" s="374"/>
    </row>
    <row r="94" spans="1:7" x14ac:dyDescent="0.25">
      <c r="A94" s="374"/>
      <c r="B94" s="20"/>
      <c r="C94" s="3"/>
      <c r="D94" s="3"/>
      <c r="E94" s="3"/>
      <c r="F94" s="19"/>
      <c r="G94" s="374"/>
    </row>
    <row r="95" spans="1:7" x14ac:dyDescent="0.25">
      <c r="A95" s="374"/>
      <c r="B95" s="54" t="s">
        <v>106</v>
      </c>
      <c r="C95" s="55"/>
      <c r="D95" s="56">
        <f>'FY2020 Operating Budget'!C95</f>
        <v>67500</v>
      </c>
      <c r="E95" s="56">
        <f>SUM(E87, E93)</f>
        <v>809.18</v>
      </c>
      <c r="F95" s="57">
        <f>(D95-E95)</f>
        <v>66690.820000000007</v>
      </c>
      <c r="G95" s="374"/>
    </row>
    <row r="96" spans="1:7" x14ac:dyDescent="0.25">
      <c r="A96" s="374"/>
      <c r="B96" s="20"/>
      <c r="C96" s="3"/>
      <c r="D96" s="3"/>
      <c r="E96" s="3"/>
      <c r="F96" s="19"/>
      <c r="G96" s="374"/>
    </row>
    <row r="97" spans="1:7" x14ac:dyDescent="0.25">
      <c r="A97" s="374"/>
      <c r="B97" s="44" t="s">
        <v>107</v>
      </c>
      <c r="C97" s="45"/>
      <c r="D97" s="45"/>
      <c r="E97" s="45"/>
      <c r="F97" s="46"/>
      <c r="G97" s="374"/>
    </row>
    <row r="98" spans="1:7" x14ac:dyDescent="0.25">
      <c r="A98" s="374"/>
      <c r="B98" s="18"/>
      <c r="C98" s="3"/>
      <c r="D98" s="3"/>
      <c r="E98" s="3"/>
      <c r="F98" s="19"/>
      <c r="G98" s="374"/>
    </row>
    <row r="99" spans="1:7" x14ac:dyDescent="0.25">
      <c r="A99" s="374"/>
      <c r="B99" s="13" t="s">
        <v>108</v>
      </c>
      <c r="C99" s="2"/>
      <c r="D99" s="2"/>
      <c r="E99" s="2"/>
      <c r="F99" s="14"/>
      <c r="G99" s="374"/>
    </row>
    <row r="100" spans="1:7" x14ac:dyDescent="0.25">
      <c r="A100" s="374"/>
      <c r="B100" s="20"/>
      <c r="C100" s="3" t="s">
        <v>109</v>
      </c>
      <c r="D100" s="4">
        <v>3250</v>
      </c>
      <c r="E100" s="4">
        <v>0</v>
      </c>
      <c r="F100" s="15">
        <f t="shared" ref="F100" si="7">(D100-E100)</f>
        <v>3250</v>
      </c>
      <c r="G100" s="374"/>
    </row>
    <row r="101" spans="1:7" x14ac:dyDescent="0.25">
      <c r="A101" s="374"/>
      <c r="B101" s="16" t="s">
        <v>110</v>
      </c>
      <c r="C101" s="2"/>
      <c r="D101" s="5">
        <f>'FY2020 Operating Budget'!C101</f>
        <v>3250</v>
      </c>
      <c r="E101" s="6">
        <f>SUM(E100:E100)</f>
        <v>0</v>
      </c>
      <c r="F101" s="21">
        <f>(D101-E101)</f>
        <v>3250</v>
      </c>
      <c r="G101" s="374"/>
    </row>
    <row r="102" spans="1:7" x14ac:dyDescent="0.25">
      <c r="A102" s="374"/>
      <c r="B102" s="20"/>
      <c r="C102" s="3"/>
      <c r="D102" s="3"/>
      <c r="E102" s="3"/>
      <c r="F102" s="19"/>
      <c r="G102" s="374"/>
    </row>
    <row r="103" spans="1:7" x14ac:dyDescent="0.25">
      <c r="A103" s="374"/>
      <c r="B103" s="13" t="s">
        <v>111</v>
      </c>
      <c r="C103" s="2"/>
      <c r="D103" s="2"/>
      <c r="E103" s="2"/>
      <c r="F103" s="14"/>
      <c r="G103" s="374"/>
    </row>
    <row r="104" spans="1:7" x14ac:dyDescent="0.25">
      <c r="A104" s="374"/>
      <c r="B104" s="20"/>
      <c r="C104" s="3" t="s">
        <v>112</v>
      </c>
      <c r="D104" s="4">
        <f>'FY2020 Operating Budget'!C104</f>
        <v>17000</v>
      </c>
      <c r="E104" s="4">
        <f>SUMIFS(TraFY2020Jul[[ Amount]],TraFY2020Jul[[ Acct Desc]], "Transfer Out*")</f>
        <v>0</v>
      </c>
      <c r="F104" s="15">
        <f t="shared" ref="F104:F105" si="8">(D104-E104)</f>
        <v>17000</v>
      </c>
      <c r="G104" s="374"/>
    </row>
    <row r="105" spans="1:7" s="36" customFormat="1" x14ac:dyDescent="0.25">
      <c r="A105" s="374"/>
      <c r="B105" s="20"/>
      <c r="C105" s="3" t="s">
        <v>1992</v>
      </c>
      <c r="D105" s="4">
        <f>'FY2020 Operating Budget'!C105</f>
        <v>20000</v>
      </c>
      <c r="E105" s="4">
        <v>0</v>
      </c>
      <c r="F105" s="15">
        <f t="shared" si="8"/>
        <v>20000</v>
      </c>
      <c r="G105" s="374"/>
    </row>
    <row r="106" spans="1:7" x14ac:dyDescent="0.25">
      <c r="A106" s="374"/>
      <c r="B106" s="16" t="s">
        <v>113</v>
      </c>
      <c r="C106" s="2"/>
      <c r="D106" s="5">
        <f>'FY2020 Operating Budget'!C106</f>
        <v>37000</v>
      </c>
      <c r="E106" s="6">
        <f>SUM(E104:E105)</f>
        <v>0</v>
      </c>
      <c r="F106" s="21">
        <f>(D106-E106)</f>
        <v>37000</v>
      </c>
      <c r="G106" s="374"/>
    </row>
    <row r="107" spans="1:7" x14ac:dyDescent="0.25">
      <c r="A107" s="374"/>
      <c r="B107" s="22"/>
      <c r="C107" s="3"/>
      <c r="D107" s="3"/>
      <c r="E107" s="3"/>
      <c r="F107" s="19"/>
      <c r="G107" s="374"/>
    </row>
    <row r="108" spans="1:7" x14ac:dyDescent="0.25">
      <c r="A108" s="374"/>
      <c r="B108" s="13" t="s">
        <v>114</v>
      </c>
      <c r="C108" s="2"/>
      <c r="D108" s="2"/>
      <c r="E108" s="2"/>
      <c r="F108" s="14"/>
      <c r="G108" s="374"/>
    </row>
    <row r="109" spans="1:7" x14ac:dyDescent="0.25">
      <c r="A109" s="374"/>
      <c r="B109" s="20"/>
      <c r="C109" s="3" t="s">
        <v>115</v>
      </c>
      <c r="D109" s="4">
        <f>'FY2020 Operating Budget'!C109</f>
        <v>2000</v>
      </c>
      <c r="E109" s="4">
        <v>0</v>
      </c>
      <c r="F109" s="15">
        <f t="shared" ref="F109" si="9">(D109-E109)</f>
        <v>2000</v>
      </c>
      <c r="G109" s="374"/>
    </row>
    <row r="110" spans="1:7" x14ac:dyDescent="0.25">
      <c r="A110" s="374"/>
      <c r="B110" s="16" t="s">
        <v>116</v>
      </c>
      <c r="C110" s="2"/>
      <c r="D110" s="5">
        <f>'FY2020 Operating Budget'!C110</f>
        <v>2000</v>
      </c>
      <c r="E110" s="6">
        <f>SUM(E109:E109)</f>
        <v>0</v>
      </c>
      <c r="F110" s="21">
        <f>(D110-E110)</f>
        <v>2000</v>
      </c>
      <c r="G110" s="374"/>
    </row>
    <row r="111" spans="1:7" x14ac:dyDescent="0.25">
      <c r="A111" s="374"/>
      <c r="B111" s="20"/>
      <c r="C111" s="3"/>
      <c r="D111" s="3"/>
      <c r="E111" s="3"/>
      <c r="F111" s="19"/>
      <c r="G111" s="374"/>
    </row>
    <row r="112" spans="1:7" x14ac:dyDescent="0.25">
      <c r="A112" s="374"/>
      <c r="B112" s="13" t="s">
        <v>117</v>
      </c>
      <c r="C112" s="2"/>
      <c r="D112" s="2"/>
      <c r="E112" s="2"/>
      <c r="F112" s="14"/>
      <c r="G112" s="374"/>
    </row>
    <row r="113" spans="1:7" x14ac:dyDescent="0.25">
      <c r="A113" s="374"/>
      <c r="B113" s="20"/>
      <c r="C113" s="3" t="s">
        <v>118</v>
      </c>
      <c r="D113" s="4">
        <f>'FY2020 Operating Budget'!C113</f>
        <v>4500</v>
      </c>
      <c r="E113" s="4">
        <v>0</v>
      </c>
      <c r="F113" s="15">
        <f t="shared" ref="F113:F115" si="10">(D113-E113)</f>
        <v>4500</v>
      </c>
      <c r="G113" s="374"/>
    </row>
    <row r="114" spans="1:7" x14ac:dyDescent="0.25">
      <c r="A114" s="374"/>
      <c r="B114" s="20"/>
      <c r="C114" s="3" t="s">
        <v>119</v>
      </c>
      <c r="D114" s="4">
        <f>'FY2020 Operating Budget'!C114</f>
        <v>3000</v>
      </c>
      <c r="E114" s="4">
        <v>0</v>
      </c>
      <c r="F114" s="15">
        <f t="shared" si="10"/>
        <v>3000</v>
      </c>
      <c r="G114" s="374"/>
    </row>
    <row r="115" spans="1:7" x14ac:dyDescent="0.25">
      <c r="A115" s="374"/>
      <c r="B115" s="20"/>
      <c r="C115" s="3" t="s">
        <v>120</v>
      </c>
      <c r="D115" s="4">
        <f>'FY2020 Operating Budget'!C115</f>
        <v>4500</v>
      </c>
      <c r="E115" s="4">
        <v>0</v>
      </c>
      <c r="F115" s="15">
        <f t="shared" si="10"/>
        <v>4500</v>
      </c>
      <c r="G115" s="374"/>
    </row>
    <row r="116" spans="1:7" x14ac:dyDescent="0.25">
      <c r="A116" s="374"/>
      <c r="B116" s="16" t="s">
        <v>121</v>
      </c>
      <c r="C116" s="2"/>
      <c r="D116" s="5">
        <f>'FY2020 Operating Budget'!C116</f>
        <v>12000</v>
      </c>
      <c r="E116" s="6">
        <f>SUM(E113:E115)</f>
        <v>0</v>
      </c>
      <c r="F116" s="21">
        <f>(D116-E116)</f>
        <v>12000</v>
      </c>
      <c r="G116" s="374"/>
    </row>
    <row r="117" spans="1:7" x14ac:dyDescent="0.25">
      <c r="A117" s="374"/>
      <c r="B117" s="20"/>
      <c r="C117" s="3"/>
      <c r="D117" s="3"/>
      <c r="E117" s="3"/>
      <c r="F117" s="19"/>
      <c r="G117" s="374"/>
    </row>
    <row r="118" spans="1:7" x14ac:dyDescent="0.25">
      <c r="A118" s="374"/>
      <c r="B118" s="47" t="s">
        <v>167</v>
      </c>
      <c r="C118" s="48"/>
      <c r="D118" s="49">
        <f>'FY2020 Operating Budget'!C118</f>
        <v>54250</v>
      </c>
      <c r="E118" s="49">
        <f>SUM(E101, E106, E110, E116)</f>
        <v>0</v>
      </c>
      <c r="F118" s="50">
        <f>(D118-E118)</f>
        <v>54250</v>
      </c>
      <c r="G118" s="374"/>
    </row>
    <row r="119" spans="1:7" x14ac:dyDescent="0.25">
      <c r="A119" s="374"/>
      <c r="B119" s="20"/>
      <c r="C119" s="3"/>
      <c r="D119" s="3"/>
      <c r="E119" s="3"/>
      <c r="F119" s="19"/>
      <c r="G119" s="374"/>
    </row>
    <row r="120" spans="1:7" x14ac:dyDescent="0.25">
      <c r="A120" s="374"/>
      <c r="B120" s="38" t="s">
        <v>131</v>
      </c>
      <c r="C120" s="39"/>
      <c r="D120" s="39"/>
      <c r="E120" s="39"/>
      <c r="F120" s="40"/>
      <c r="G120" s="374"/>
    </row>
    <row r="121" spans="1:7" x14ac:dyDescent="0.25">
      <c r="A121" s="374"/>
      <c r="B121" s="18"/>
      <c r="C121" s="3"/>
      <c r="D121" s="3"/>
      <c r="E121" s="3"/>
      <c r="F121" s="19"/>
      <c r="G121" s="374"/>
    </row>
    <row r="122" spans="1:7" x14ac:dyDescent="0.25">
      <c r="A122" s="374"/>
      <c r="B122" s="13" t="s">
        <v>122</v>
      </c>
      <c r="C122" s="2"/>
      <c r="D122" s="2"/>
      <c r="E122" s="2"/>
      <c r="F122" s="14"/>
      <c r="G122" s="374"/>
    </row>
    <row r="123" spans="1:7" x14ac:dyDescent="0.25">
      <c r="A123" s="374"/>
      <c r="B123" s="20"/>
      <c r="C123" s="3" t="s">
        <v>123</v>
      </c>
      <c r="D123" s="4">
        <f>'FY2020 Operating Budget'!C123</f>
        <v>26070</v>
      </c>
      <c r="E123" s="4">
        <f>SUMIFS(TraFY2020Jul[[ Amount]],TraFY2020Jul[[ Acct Desc]], "Fiscal Agent*")</f>
        <v>0</v>
      </c>
      <c r="F123" s="15">
        <f t="shared" ref="F123" si="11">(D123-E123)</f>
        <v>26070</v>
      </c>
      <c r="G123" s="374"/>
    </row>
    <row r="124" spans="1:7" x14ac:dyDescent="0.25">
      <c r="A124" s="374"/>
      <c r="B124" s="16" t="s">
        <v>124</v>
      </c>
      <c r="C124" s="2"/>
      <c r="D124" s="5">
        <f>'FY2020 Operating Budget'!C124</f>
        <v>26070</v>
      </c>
      <c r="E124" s="6">
        <f>SUM(E123:E123)</f>
        <v>0</v>
      </c>
      <c r="F124" s="21">
        <f>(D124-E124)</f>
        <v>26070</v>
      </c>
      <c r="G124" s="374"/>
    </row>
    <row r="125" spans="1:7" x14ac:dyDescent="0.25">
      <c r="A125" s="374"/>
      <c r="B125" s="20"/>
      <c r="C125" s="3"/>
      <c r="D125" s="3"/>
      <c r="E125" s="3"/>
      <c r="F125" s="19"/>
      <c r="G125" s="374"/>
    </row>
    <row r="126" spans="1:7" x14ac:dyDescent="0.25">
      <c r="A126" s="374"/>
      <c r="B126" s="37" t="s">
        <v>125</v>
      </c>
      <c r="C126" s="41"/>
      <c r="D126" s="42">
        <f>'FY2020 Operating Budget'!C126</f>
        <v>26070</v>
      </c>
      <c r="E126" s="42">
        <f>SUM(E124)</f>
        <v>0</v>
      </c>
      <c r="F126" s="43">
        <f>(D126-E126)</f>
        <v>26070</v>
      </c>
      <c r="G126" s="374"/>
    </row>
    <row r="127" spans="1:7" x14ac:dyDescent="0.25">
      <c r="A127" s="374"/>
      <c r="B127" s="23"/>
      <c r="C127" s="7"/>
      <c r="D127" s="7"/>
      <c r="E127" s="7"/>
      <c r="F127" s="24"/>
      <c r="G127" s="374"/>
    </row>
    <row r="128" spans="1:7" x14ac:dyDescent="0.25">
      <c r="A128" s="374"/>
      <c r="B128" s="23"/>
      <c r="C128" s="7"/>
      <c r="D128" s="7"/>
      <c r="E128" s="7"/>
      <c r="F128" s="24"/>
      <c r="G128" s="374"/>
    </row>
    <row r="129" spans="1:7" ht="15.75" x14ac:dyDescent="0.25">
      <c r="A129" s="374"/>
      <c r="B129" s="25" t="s">
        <v>126</v>
      </c>
      <c r="C129" s="8"/>
      <c r="D129" s="9"/>
      <c r="E129" s="10">
        <f>SUM(E34)</f>
        <v>1077.0700000000002</v>
      </c>
      <c r="F129" s="26"/>
      <c r="G129" s="374"/>
    </row>
    <row r="130" spans="1:7" ht="15.75" x14ac:dyDescent="0.25">
      <c r="A130" s="374"/>
      <c r="B130" s="25" t="s">
        <v>127</v>
      </c>
      <c r="C130" s="8"/>
      <c r="D130" s="9"/>
      <c r="E130" s="10">
        <f>SUM(E64, E79, E95, E118, E126)</f>
        <v>6491.6600000000017</v>
      </c>
      <c r="F130" s="26"/>
      <c r="G130" s="374"/>
    </row>
    <row r="131" spans="1:7" ht="16.5" thickBot="1" x14ac:dyDescent="0.3">
      <c r="A131" s="374"/>
      <c r="B131" s="27" t="s">
        <v>2135</v>
      </c>
      <c r="C131" s="28"/>
      <c r="D131" s="29"/>
      <c r="E131" s="30">
        <f>(E129-E130)</f>
        <v>-5414.590000000002</v>
      </c>
      <c r="F131" s="31"/>
      <c r="G131" s="374"/>
    </row>
    <row r="132" spans="1:7" ht="15.75" thickBot="1" x14ac:dyDescent="0.3">
      <c r="A132" s="375" t="b">
        <f>IF(($E$129+$E$130)=(SUM('FY2020 July Transactions'!E:E)),TRUE,FALSE)</f>
        <v>1</v>
      </c>
      <c r="B132" s="376"/>
      <c r="C132" s="376"/>
      <c r="D132" s="376"/>
      <c r="E132" s="376"/>
      <c r="F132" s="376"/>
      <c r="G132" s="377"/>
    </row>
    <row r="133" spans="1:7" x14ac:dyDescent="0.25">
      <c r="D133" s="93"/>
    </row>
  </sheetData>
  <mergeCells count="7">
    <mergeCell ref="A1:G1"/>
    <mergeCell ref="G2:G131"/>
    <mergeCell ref="A132:G132"/>
    <mergeCell ref="B2:F3"/>
    <mergeCell ref="B36:F36"/>
    <mergeCell ref="B6:F6"/>
    <mergeCell ref="A2:A131"/>
  </mergeCells>
  <conditionalFormatting sqref="A1">
    <cfRule type="cellIs" dxfId="371" priority="4" operator="equal">
      <formula>TRUE</formula>
    </cfRule>
  </conditionalFormatting>
  <conditionalFormatting sqref="A1:A131 G2:G131">
    <cfRule type="cellIs" dxfId="370" priority="3" operator="equal">
      <formula>FALSE</formula>
    </cfRule>
  </conditionalFormatting>
  <conditionalFormatting sqref="A132:G132 G2:G131 A2:A131">
    <cfRule type="cellIs" dxfId="369" priority="2" operator="equal">
      <formula>TRUE</formula>
    </cfRule>
  </conditionalFormatting>
  <conditionalFormatting sqref="A132:G132">
    <cfRule type="cellIs" dxfId="368" priority="1" operator="equal">
      <formula>FALSE</formula>
    </cfRule>
  </conditionalFormatting>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9F382-C829-4D1E-AD73-ADF8746C3BCF}">
  <dimension ref="A1:F19"/>
  <sheetViews>
    <sheetView workbookViewId="0">
      <selection activeCell="E58" sqref="E58"/>
    </sheetView>
  </sheetViews>
  <sheetFormatPr defaultRowHeight="15" x14ac:dyDescent="0.25"/>
  <cols>
    <col min="1" max="1" width="10.7109375" customWidth="1"/>
    <col min="2" max="6" width="35.7109375" customWidth="1"/>
  </cols>
  <sheetData>
    <row r="1" spans="1:6" x14ac:dyDescent="0.25">
      <c r="A1" t="s">
        <v>0</v>
      </c>
      <c r="B1" t="s">
        <v>1</v>
      </c>
      <c r="C1" t="s">
        <v>2</v>
      </c>
      <c r="D1" t="s">
        <v>3</v>
      </c>
      <c r="E1" t="s">
        <v>4</v>
      </c>
      <c r="F1" t="s">
        <v>5</v>
      </c>
    </row>
    <row r="2" spans="1:6" ht="15.75" x14ac:dyDescent="0.25">
      <c r="A2" s="35">
        <v>586110</v>
      </c>
      <c r="B2" s="35" t="s">
        <v>30</v>
      </c>
      <c r="C2" s="35" t="s">
        <v>30</v>
      </c>
      <c r="D2" s="35" t="s">
        <v>31</v>
      </c>
      <c r="E2" s="35">
        <v>3000</v>
      </c>
      <c r="F2" s="34">
        <v>43647</v>
      </c>
    </row>
    <row r="3" spans="1:6" ht="15.75" x14ac:dyDescent="0.25">
      <c r="A3" s="35">
        <v>586110</v>
      </c>
      <c r="B3" s="35" t="s">
        <v>30</v>
      </c>
      <c r="C3" s="35" t="s">
        <v>30</v>
      </c>
      <c r="D3" s="35" t="s">
        <v>31</v>
      </c>
      <c r="E3" s="35">
        <v>-3000</v>
      </c>
      <c r="F3" s="34">
        <v>43647</v>
      </c>
    </row>
    <row r="4" spans="1:6" ht="15.75" x14ac:dyDescent="0.25">
      <c r="A4" s="35">
        <v>587890</v>
      </c>
      <c r="B4" s="35" t="s">
        <v>32</v>
      </c>
      <c r="C4" s="35" t="s">
        <v>32</v>
      </c>
      <c r="D4" s="35" t="s">
        <v>31</v>
      </c>
      <c r="E4" s="35">
        <v>-3000</v>
      </c>
      <c r="F4" s="34">
        <v>43647</v>
      </c>
    </row>
    <row r="5" spans="1:6" ht="15.75" x14ac:dyDescent="0.25">
      <c r="A5" s="35">
        <v>587890</v>
      </c>
      <c r="B5" s="35" t="s">
        <v>32</v>
      </c>
      <c r="C5" s="35" t="s">
        <v>32</v>
      </c>
      <c r="D5" s="35" t="s">
        <v>31</v>
      </c>
      <c r="E5" s="35">
        <v>3000</v>
      </c>
      <c r="F5" s="34">
        <v>43647</v>
      </c>
    </row>
    <row r="6" spans="1:6" ht="15.75" x14ac:dyDescent="0.25">
      <c r="A6" s="35">
        <v>526712</v>
      </c>
      <c r="B6" s="35" t="s">
        <v>14</v>
      </c>
      <c r="C6" s="35" t="s">
        <v>17</v>
      </c>
      <c r="D6" s="35" t="s">
        <v>18</v>
      </c>
      <c r="E6" s="35">
        <v>35.78</v>
      </c>
      <c r="F6" s="34">
        <v>43648</v>
      </c>
    </row>
    <row r="7" spans="1:6" ht="15.75" x14ac:dyDescent="0.25">
      <c r="A7" s="35">
        <v>526712</v>
      </c>
      <c r="B7" s="35" t="s">
        <v>14</v>
      </c>
      <c r="C7" s="35" t="s">
        <v>19</v>
      </c>
      <c r="D7" s="35" t="s">
        <v>20</v>
      </c>
      <c r="E7" s="35">
        <v>87.88</v>
      </c>
      <c r="F7" s="34">
        <v>43648</v>
      </c>
    </row>
    <row r="8" spans="1:6" ht="15.75" x14ac:dyDescent="0.25">
      <c r="A8" s="35">
        <v>526712</v>
      </c>
      <c r="B8" s="35" t="s">
        <v>14</v>
      </c>
      <c r="C8" s="35" t="s">
        <v>21</v>
      </c>
      <c r="D8" s="35" t="s">
        <v>22</v>
      </c>
      <c r="E8" s="35">
        <v>176.22</v>
      </c>
      <c r="F8" s="34">
        <v>43648</v>
      </c>
    </row>
    <row r="9" spans="1:6" ht="15.75" x14ac:dyDescent="0.25">
      <c r="A9" s="35">
        <v>526741</v>
      </c>
      <c r="B9" s="35" t="s">
        <v>23</v>
      </c>
      <c r="C9" s="35" t="s">
        <v>24</v>
      </c>
      <c r="D9" s="35" t="s">
        <v>25</v>
      </c>
      <c r="E9" s="35">
        <v>424</v>
      </c>
      <c r="F9" s="34">
        <v>43648</v>
      </c>
    </row>
    <row r="10" spans="1:6" ht="15.75" x14ac:dyDescent="0.25">
      <c r="A10" s="35">
        <v>526742</v>
      </c>
      <c r="B10" s="35" t="s">
        <v>26</v>
      </c>
      <c r="C10" s="35" t="s">
        <v>17</v>
      </c>
      <c r="D10" s="35" t="s">
        <v>18</v>
      </c>
      <c r="E10" s="35">
        <v>18.899999999999999</v>
      </c>
      <c r="F10" s="34">
        <v>43648</v>
      </c>
    </row>
    <row r="11" spans="1:6" ht="15.75" x14ac:dyDescent="0.25">
      <c r="A11" s="35">
        <v>487110</v>
      </c>
      <c r="B11" s="35" t="s">
        <v>36</v>
      </c>
      <c r="C11" s="35" t="s">
        <v>37</v>
      </c>
      <c r="D11" s="35" t="s">
        <v>38</v>
      </c>
      <c r="E11" s="35">
        <v>699.22</v>
      </c>
      <c r="F11" s="34">
        <v>43662</v>
      </c>
    </row>
    <row r="12" spans="1:6" ht="15.75" x14ac:dyDescent="0.25">
      <c r="A12" s="35">
        <v>526712</v>
      </c>
      <c r="B12" s="35" t="s">
        <v>14</v>
      </c>
      <c r="C12" s="35" t="s">
        <v>15</v>
      </c>
      <c r="D12" s="35" t="s">
        <v>16</v>
      </c>
      <c r="E12" s="35">
        <v>66.400000000000006</v>
      </c>
      <c r="F12" s="34">
        <v>43668</v>
      </c>
    </row>
    <row r="13" spans="1:6" ht="15.75" x14ac:dyDescent="0.25">
      <c r="A13" s="35">
        <v>511120</v>
      </c>
      <c r="B13" s="35" t="s">
        <v>6</v>
      </c>
      <c r="C13" s="35" t="s">
        <v>7</v>
      </c>
      <c r="D13" s="35" t="s">
        <v>8</v>
      </c>
      <c r="E13" s="35">
        <v>4416.6400000000003</v>
      </c>
      <c r="F13" s="34">
        <v>43677</v>
      </c>
    </row>
    <row r="14" spans="1:6" ht="15.75" x14ac:dyDescent="0.25">
      <c r="A14" s="35">
        <v>515120</v>
      </c>
      <c r="B14" s="35" t="s">
        <v>9</v>
      </c>
      <c r="C14" s="35" t="s">
        <v>7</v>
      </c>
      <c r="D14" s="35" t="s">
        <v>8</v>
      </c>
      <c r="E14" s="35">
        <v>269.35000000000002</v>
      </c>
      <c r="F14" s="34">
        <v>43677</v>
      </c>
    </row>
    <row r="15" spans="1:6" ht="15.75" x14ac:dyDescent="0.25">
      <c r="A15" s="35">
        <v>515130</v>
      </c>
      <c r="B15" s="35" t="s">
        <v>10</v>
      </c>
      <c r="C15" s="35" t="s">
        <v>7</v>
      </c>
      <c r="D15" s="35" t="s">
        <v>8</v>
      </c>
      <c r="E15" s="35">
        <v>63</v>
      </c>
      <c r="F15" s="34">
        <v>43677</v>
      </c>
    </row>
    <row r="16" spans="1:6" ht="15.75" x14ac:dyDescent="0.25">
      <c r="A16" s="35">
        <v>515410</v>
      </c>
      <c r="B16" s="35" t="s">
        <v>11</v>
      </c>
      <c r="C16" s="35" t="s">
        <v>7</v>
      </c>
      <c r="D16" s="35" t="s">
        <v>8</v>
      </c>
      <c r="E16" s="35">
        <v>302.10000000000002</v>
      </c>
      <c r="F16" s="34">
        <v>43677</v>
      </c>
    </row>
    <row r="17" spans="1:6" ht="15.75" x14ac:dyDescent="0.25">
      <c r="A17" s="35">
        <v>515420</v>
      </c>
      <c r="B17" s="35" t="s">
        <v>12</v>
      </c>
      <c r="C17" s="35" t="s">
        <v>7</v>
      </c>
      <c r="D17" s="35" t="s">
        <v>8</v>
      </c>
      <c r="E17" s="35">
        <v>283.11</v>
      </c>
      <c r="F17" s="34">
        <v>43677</v>
      </c>
    </row>
    <row r="18" spans="1:6" ht="15.75" x14ac:dyDescent="0.25">
      <c r="A18" s="35">
        <v>515530</v>
      </c>
      <c r="B18" s="35" t="s">
        <v>13</v>
      </c>
      <c r="C18" s="35" t="s">
        <v>7</v>
      </c>
      <c r="D18" s="35" t="s">
        <v>8</v>
      </c>
      <c r="E18" s="35">
        <v>348.28</v>
      </c>
      <c r="F18" s="34">
        <v>43677</v>
      </c>
    </row>
    <row r="19" spans="1:6" ht="15.75" x14ac:dyDescent="0.25">
      <c r="A19" s="35">
        <v>431210</v>
      </c>
      <c r="B19" s="35" t="s">
        <v>33</v>
      </c>
      <c r="C19" s="35" t="s">
        <v>34</v>
      </c>
      <c r="D19" s="35" t="s">
        <v>35</v>
      </c>
      <c r="E19" s="35">
        <v>377.85</v>
      </c>
      <c r="F19" s="34">
        <v>43677</v>
      </c>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91983-B5D2-43B7-914B-EC76E0801933}">
  <dimension ref="A1:D133"/>
  <sheetViews>
    <sheetView workbookViewId="0">
      <selection activeCell="B92" sqref="B92"/>
    </sheetView>
  </sheetViews>
  <sheetFormatPr defaultRowHeight="15" x14ac:dyDescent="0.25"/>
  <cols>
    <col min="1" max="4" width="40.7109375" style="36" customWidth="1"/>
    <col min="5" max="16384" width="9.140625" style="36"/>
  </cols>
  <sheetData>
    <row r="1" spans="1:4" ht="15.75" thickBot="1" x14ac:dyDescent="0.3"/>
    <row r="2" spans="1:4" ht="26.25" customHeight="1" x14ac:dyDescent="0.25">
      <c r="A2" s="350" t="s">
        <v>2136</v>
      </c>
      <c r="B2" s="351"/>
      <c r="C2" s="351"/>
      <c r="D2" s="352"/>
    </row>
    <row r="3" spans="1:4" ht="26.25" customHeight="1" x14ac:dyDescent="0.25">
      <c r="A3" s="353"/>
      <c r="B3" s="354"/>
      <c r="C3" s="354"/>
      <c r="D3" s="355"/>
    </row>
    <row r="4" spans="1:4" ht="15.75" x14ac:dyDescent="0.25">
      <c r="A4" s="87" t="s">
        <v>53</v>
      </c>
      <c r="B4" s="88" t="s">
        <v>54</v>
      </c>
      <c r="C4" s="88" t="s">
        <v>1974</v>
      </c>
      <c r="D4" s="89" t="s">
        <v>1971</v>
      </c>
    </row>
    <row r="5" spans="1:4" ht="15.75" x14ac:dyDescent="0.25">
      <c r="A5" s="11"/>
      <c r="B5" s="1"/>
      <c r="C5" s="1"/>
      <c r="D5" s="12"/>
    </row>
    <row r="6" spans="1:4" ht="15.75" x14ac:dyDescent="0.25">
      <c r="A6" s="344" t="s">
        <v>1979</v>
      </c>
      <c r="B6" s="345"/>
      <c r="C6" s="345"/>
      <c r="D6" s="346"/>
    </row>
    <row r="7" spans="1:4" ht="15.75" x14ac:dyDescent="0.25">
      <c r="A7" s="11"/>
      <c r="B7" s="1"/>
      <c r="C7" s="1"/>
      <c r="D7" s="12"/>
    </row>
    <row r="8" spans="1:4" x14ac:dyDescent="0.25">
      <c r="A8" s="80" t="s">
        <v>132</v>
      </c>
      <c r="B8" s="81"/>
      <c r="C8" s="81"/>
      <c r="D8" s="82"/>
    </row>
    <row r="9" spans="1:4" ht="15.75" x14ac:dyDescent="0.25">
      <c r="A9" s="11"/>
      <c r="B9" s="1"/>
      <c r="C9" s="1"/>
      <c r="D9" s="12"/>
    </row>
    <row r="10" spans="1:4" x14ac:dyDescent="0.25">
      <c r="A10" s="13" t="s">
        <v>133</v>
      </c>
      <c r="B10" s="2"/>
      <c r="C10" s="2"/>
      <c r="D10" s="14"/>
    </row>
    <row r="11" spans="1:4" ht="15.75" x14ac:dyDescent="0.25">
      <c r="A11" s="11"/>
      <c r="B11" s="3" t="s">
        <v>134</v>
      </c>
      <c r="C11" s="4">
        <v>209625.3</v>
      </c>
      <c r="D11" s="15"/>
    </row>
    <row r="12" spans="1:4" x14ac:dyDescent="0.25">
      <c r="A12" s="16" t="s">
        <v>136</v>
      </c>
      <c r="B12" s="2"/>
      <c r="C12" s="5">
        <f>SUM(C11:C11)</f>
        <v>209625.3</v>
      </c>
      <c r="D12" s="17"/>
    </row>
    <row r="13" spans="1:4" ht="15.75" x14ac:dyDescent="0.25">
      <c r="A13" s="11"/>
      <c r="B13" s="1"/>
      <c r="C13" s="1"/>
      <c r="D13" s="12"/>
    </row>
    <row r="14" spans="1:4" x14ac:dyDescent="0.25">
      <c r="A14" s="13" t="s">
        <v>139</v>
      </c>
      <c r="B14" s="2"/>
      <c r="C14" s="2"/>
      <c r="D14" s="14"/>
    </row>
    <row r="15" spans="1:4" ht="15.75" x14ac:dyDescent="0.25">
      <c r="A15" s="11"/>
      <c r="B15" s="3" t="s">
        <v>135</v>
      </c>
      <c r="C15" s="4">
        <v>0</v>
      </c>
      <c r="D15" s="15"/>
    </row>
    <row r="16" spans="1:4" ht="15.75" x14ac:dyDescent="0.25">
      <c r="A16" s="11"/>
      <c r="B16" s="3" t="s">
        <v>140</v>
      </c>
      <c r="C16" s="4">
        <v>0</v>
      </c>
      <c r="D16" s="15"/>
    </row>
    <row r="17" spans="1:4" x14ac:dyDescent="0.25">
      <c r="A17" s="16" t="s">
        <v>137</v>
      </c>
      <c r="B17" s="2"/>
      <c r="C17" s="5">
        <f>SUM(C15:C15)</f>
        <v>0</v>
      </c>
      <c r="D17" s="17"/>
    </row>
    <row r="18" spans="1:4" ht="15.75" x14ac:dyDescent="0.25">
      <c r="A18" s="11"/>
      <c r="B18" s="1"/>
      <c r="C18" s="1"/>
      <c r="D18" s="12"/>
    </row>
    <row r="19" spans="1:4" x14ac:dyDescent="0.25">
      <c r="A19" s="83" t="s">
        <v>138</v>
      </c>
      <c r="B19" s="84"/>
      <c r="C19" s="85">
        <f>SUM(C12,C17)</f>
        <v>209625.3</v>
      </c>
      <c r="D19" s="86"/>
    </row>
    <row r="20" spans="1:4" ht="15.75" x14ac:dyDescent="0.25">
      <c r="A20" s="11"/>
      <c r="B20" s="1"/>
      <c r="C20" s="1"/>
      <c r="D20" s="12"/>
    </row>
    <row r="21" spans="1:4" x14ac:dyDescent="0.25">
      <c r="A21" s="73" t="s">
        <v>1977</v>
      </c>
      <c r="B21" s="74"/>
      <c r="C21" s="74"/>
      <c r="D21" s="75"/>
    </row>
    <row r="22" spans="1:4" ht="15.75" x14ac:dyDescent="0.25">
      <c r="A22" s="11"/>
      <c r="B22" s="1"/>
      <c r="C22" s="1"/>
      <c r="D22" s="12"/>
    </row>
    <row r="23" spans="1:4" x14ac:dyDescent="0.25">
      <c r="A23" s="13" t="s">
        <v>56</v>
      </c>
      <c r="B23" s="2"/>
      <c r="C23" s="2"/>
      <c r="D23" s="14"/>
    </row>
    <row r="24" spans="1:4" ht="15.75" x14ac:dyDescent="0.25">
      <c r="A24" s="11"/>
      <c r="B24" s="3" t="s">
        <v>57</v>
      </c>
      <c r="C24" s="4">
        <v>238000</v>
      </c>
      <c r="D24" s="15"/>
    </row>
    <row r="25" spans="1:4" ht="15.75" x14ac:dyDescent="0.25">
      <c r="A25" s="11"/>
      <c r="B25" s="3" t="s">
        <v>129</v>
      </c>
      <c r="C25" s="4">
        <v>0</v>
      </c>
      <c r="D25" s="15"/>
    </row>
    <row r="26" spans="1:4" ht="15.75" x14ac:dyDescent="0.25">
      <c r="A26" s="11"/>
      <c r="B26" s="3" t="s">
        <v>2019</v>
      </c>
      <c r="C26" s="4">
        <v>0</v>
      </c>
      <c r="D26" s="15"/>
    </row>
    <row r="27" spans="1:4" x14ac:dyDescent="0.25">
      <c r="A27" s="16" t="s">
        <v>58</v>
      </c>
      <c r="B27" s="2"/>
      <c r="C27" s="5">
        <f>SUM(C24:C26)</f>
        <v>238000</v>
      </c>
      <c r="D27" s="17"/>
    </row>
    <row r="28" spans="1:4" ht="15.75" x14ac:dyDescent="0.25">
      <c r="A28" s="11"/>
      <c r="B28" s="1"/>
      <c r="C28" s="1"/>
      <c r="D28" s="12"/>
    </row>
    <row r="29" spans="1:4" x14ac:dyDescent="0.25">
      <c r="A29" s="13" t="s">
        <v>59</v>
      </c>
      <c r="B29" s="2"/>
      <c r="C29" s="2"/>
      <c r="D29" s="14"/>
    </row>
    <row r="30" spans="1:4" ht="15.75" x14ac:dyDescent="0.25">
      <c r="A30" s="11"/>
      <c r="B30" s="3" t="s">
        <v>60</v>
      </c>
      <c r="C30" s="4">
        <v>0</v>
      </c>
      <c r="D30" s="15"/>
    </row>
    <row r="31" spans="1:4" ht="15.75" x14ac:dyDescent="0.25">
      <c r="A31" s="11"/>
      <c r="B31" s="3" t="s">
        <v>2018</v>
      </c>
      <c r="C31" s="4">
        <v>0</v>
      </c>
      <c r="D31" s="15"/>
    </row>
    <row r="32" spans="1:4" x14ac:dyDescent="0.25">
      <c r="A32" s="16" t="s">
        <v>61</v>
      </c>
      <c r="B32" s="2"/>
      <c r="C32" s="5">
        <f>SUM(C30:C31)</f>
        <v>0</v>
      </c>
      <c r="D32" s="17"/>
    </row>
    <row r="33" spans="1:4" ht="15.75" x14ac:dyDescent="0.25">
      <c r="A33" s="11"/>
      <c r="B33" s="1"/>
      <c r="C33" s="1"/>
      <c r="D33" s="12"/>
    </row>
    <row r="34" spans="1:4" x14ac:dyDescent="0.25">
      <c r="A34" s="76" t="s">
        <v>62</v>
      </c>
      <c r="B34" s="77"/>
      <c r="C34" s="78">
        <f>SUM(C27,C32)</f>
        <v>238000</v>
      </c>
      <c r="D34" s="79"/>
    </row>
    <row r="35" spans="1:4" ht="15.75" x14ac:dyDescent="0.25">
      <c r="A35" s="11"/>
      <c r="B35" s="1"/>
      <c r="C35" s="1"/>
      <c r="D35" s="12"/>
    </row>
    <row r="36" spans="1:4" ht="15.75" x14ac:dyDescent="0.25">
      <c r="A36" s="344" t="s">
        <v>1978</v>
      </c>
      <c r="B36" s="345"/>
      <c r="C36" s="345"/>
      <c r="D36" s="346"/>
    </row>
    <row r="37" spans="1:4" ht="15.75" x14ac:dyDescent="0.25">
      <c r="A37" s="11"/>
      <c r="B37" s="1"/>
      <c r="C37" s="1"/>
      <c r="D37" s="12"/>
    </row>
    <row r="38" spans="1:4" x14ac:dyDescent="0.25">
      <c r="A38" s="66" t="s">
        <v>63</v>
      </c>
      <c r="B38" s="67"/>
      <c r="C38" s="67"/>
      <c r="D38" s="68"/>
    </row>
    <row r="39" spans="1:4" x14ac:dyDescent="0.25">
      <c r="A39" s="18"/>
      <c r="B39" s="3"/>
      <c r="C39" s="3"/>
      <c r="D39" s="19"/>
    </row>
    <row r="40" spans="1:4" x14ac:dyDescent="0.25">
      <c r="A40" s="13" t="s">
        <v>64</v>
      </c>
      <c r="B40" s="2"/>
      <c r="C40" s="2"/>
      <c r="D40" s="14"/>
    </row>
    <row r="41" spans="1:4" x14ac:dyDescent="0.25">
      <c r="A41" s="20"/>
      <c r="B41" s="3" t="s">
        <v>65</v>
      </c>
      <c r="C41" s="4">
        <v>6500</v>
      </c>
      <c r="D41" s="15"/>
    </row>
    <row r="42" spans="1:4" x14ac:dyDescent="0.25">
      <c r="A42" s="20"/>
      <c r="B42" s="3" t="s">
        <v>66</v>
      </c>
      <c r="C42" s="4">
        <v>4000</v>
      </c>
      <c r="D42" s="15"/>
    </row>
    <row r="43" spans="1:4" x14ac:dyDescent="0.25">
      <c r="A43" s="20"/>
      <c r="B43" s="3" t="s">
        <v>67</v>
      </c>
      <c r="C43" s="4">
        <v>2250</v>
      </c>
      <c r="D43" s="15"/>
    </row>
    <row r="44" spans="1:4" x14ac:dyDescent="0.25">
      <c r="A44" s="20"/>
      <c r="B44" s="3" t="s">
        <v>68</v>
      </c>
      <c r="C44" s="4">
        <v>2000</v>
      </c>
      <c r="D44" s="15"/>
    </row>
    <row r="45" spans="1:4" x14ac:dyDescent="0.25">
      <c r="A45" s="20"/>
      <c r="B45" s="3" t="s">
        <v>69</v>
      </c>
      <c r="C45" s="4">
        <v>2000</v>
      </c>
      <c r="D45" s="15"/>
    </row>
    <row r="46" spans="1:4" x14ac:dyDescent="0.25">
      <c r="A46" s="20"/>
      <c r="B46" s="3" t="s">
        <v>70</v>
      </c>
      <c r="C46" s="4">
        <v>2000</v>
      </c>
      <c r="D46" s="15"/>
    </row>
    <row r="47" spans="1:4" x14ac:dyDescent="0.25">
      <c r="A47" s="20"/>
      <c r="B47" s="3" t="s">
        <v>71</v>
      </c>
      <c r="C47" s="4">
        <v>2000</v>
      </c>
      <c r="D47" s="15"/>
    </row>
    <row r="48" spans="1:4" x14ac:dyDescent="0.25">
      <c r="A48" s="20"/>
      <c r="B48" s="3" t="s">
        <v>72</v>
      </c>
      <c r="C48" s="4">
        <v>2000</v>
      </c>
      <c r="D48" s="15"/>
    </row>
    <row r="49" spans="1:4" x14ac:dyDescent="0.25">
      <c r="A49" s="20"/>
      <c r="B49" s="3" t="s">
        <v>73</v>
      </c>
      <c r="C49" s="4">
        <v>2000</v>
      </c>
      <c r="D49" s="15"/>
    </row>
    <row r="50" spans="1:4" x14ac:dyDescent="0.25">
      <c r="A50" s="16" t="s">
        <v>74</v>
      </c>
      <c r="B50" s="2"/>
      <c r="C50" s="5">
        <f>SUM(C41:C49)</f>
        <v>24750</v>
      </c>
      <c r="D50" s="21"/>
    </row>
    <row r="51" spans="1:4" x14ac:dyDescent="0.25">
      <c r="A51" s="20"/>
      <c r="B51" s="3"/>
      <c r="C51" s="3"/>
      <c r="D51" s="19"/>
    </row>
    <row r="52" spans="1:4" x14ac:dyDescent="0.25">
      <c r="A52" s="13" t="s">
        <v>75</v>
      </c>
      <c r="B52" s="2"/>
      <c r="C52" s="2"/>
      <c r="D52" s="14"/>
    </row>
    <row r="53" spans="1:4" x14ac:dyDescent="0.25">
      <c r="A53" s="20"/>
      <c r="B53" s="3" t="s">
        <v>76</v>
      </c>
      <c r="C53" s="4">
        <v>53000</v>
      </c>
      <c r="D53" s="15"/>
    </row>
    <row r="54" spans="1:4" x14ac:dyDescent="0.25">
      <c r="A54" s="20"/>
      <c r="B54" s="3" t="s">
        <v>77</v>
      </c>
      <c r="C54" s="4">
        <v>6810.5</v>
      </c>
      <c r="D54" s="15"/>
    </row>
    <row r="55" spans="1:4" x14ac:dyDescent="0.25">
      <c r="A55" s="20"/>
      <c r="B55" s="3" t="s">
        <v>78</v>
      </c>
      <c r="C55" s="4">
        <v>5564.16</v>
      </c>
      <c r="D55" s="15"/>
    </row>
    <row r="56" spans="1:4" x14ac:dyDescent="0.25">
      <c r="A56" s="20"/>
      <c r="B56" s="3" t="s">
        <v>79</v>
      </c>
      <c r="C56" s="4">
        <v>3286</v>
      </c>
      <c r="D56" s="15"/>
    </row>
    <row r="57" spans="1:4" x14ac:dyDescent="0.25">
      <c r="A57" s="20"/>
      <c r="B57" s="3" t="s">
        <v>80</v>
      </c>
      <c r="C57" s="4">
        <v>768.5</v>
      </c>
      <c r="D57" s="15"/>
    </row>
    <row r="58" spans="1:4" x14ac:dyDescent="0.25">
      <c r="A58" s="16" t="s">
        <v>81</v>
      </c>
      <c r="B58" s="2"/>
      <c r="C58" s="6">
        <f>SUM(C53:C57)</f>
        <v>69429.16</v>
      </c>
      <c r="D58" s="21"/>
    </row>
    <row r="59" spans="1:4" x14ac:dyDescent="0.25">
      <c r="A59" s="20"/>
      <c r="B59" s="3"/>
      <c r="C59" s="3"/>
      <c r="D59" s="19"/>
    </row>
    <row r="60" spans="1:4" x14ac:dyDescent="0.25">
      <c r="A60" s="13" t="s">
        <v>82</v>
      </c>
      <c r="B60" s="2"/>
      <c r="C60" s="2"/>
      <c r="D60" s="14"/>
    </row>
    <row r="61" spans="1:4" x14ac:dyDescent="0.25">
      <c r="A61" s="20"/>
      <c r="B61" s="3" t="s">
        <v>83</v>
      </c>
      <c r="C61" s="4">
        <v>17000</v>
      </c>
      <c r="D61" s="15"/>
    </row>
    <row r="62" spans="1:4" x14ac:dyDescent="0.25">
      <c r="A62" s="16" t="s">
        <v>84</v>
      </c>
      <c r="B62" s="2"/>
      <c r="C62" s="6">
        <f>SUM(C61:C61)</f>
        <v>17000</v>
      </c>
      <c r="D62" s="21"/>
    </row>
    <row r="63" spans="1:4" x14ac:dyDescent="0.25">
      <c r="A63" s="20"/>
      <c r="B63" s="3"/>
      <c r="C63" s="3"/>
      <c r="D63" s="19"/>
    </row>
    <row r="64" spans="1:4" x14ac:dyDescent="0.25">
      <c r="A64" s="69" t="s">
        <v>85</v>
      </c>
      <c r="B64" s="70"/>
      <c r="C64" s="71">
        <f>SUM(C50, C58, C62)</f>
        <v>111179.16</v>
      </c>
      <c r="D64" s="72"/>
    </row>
    <row r="65" spans="1:4" x14ac:dyDescent="0.25">
      <c r="A65" s="20"/>
      <c r="B65" s="3"/>
      <c r="C65" s="3"/>
      <c r="D65" s="19"/>
    </row>
    <row r="66" spans="1:4" x14ac:dyDescent="0.25">
      <c r="A66" s="58" t="s">
        <v>130</v>
      </c>
      <c r="B66" s="59"/>
      <c r="C66" s="59"/>
      <c r="D66" s="60"/>
    </row>
    <row r="67" spans="1:4" x14ac:dyDescent="0.25">
      <c r="A67" s="18"/>
      <c r="B67" s="3"/>
      <c r="C67" s="3"/>
      <c r="D67" s="19"/>
    </row>
    <row r="68" spans="1:4" x14ac:dyDescent="0.25">
      <c r="A68" s="13" t="s">
        <v>86</v>
      </c>
      <c r="B68" s="2"/>
      <c r="C68" s="2"/>
      <c r="D68" s="14"/>
    </row>
    <row r="69" spans="1:4" x14ac:dyDescent="0.25">
      <c r="A69" s="20"/>
      <c r="B69" s="3" t="s">
        <v>87</v>
      </c>
      <c r="C69" s="4">
        <v>174</v>
      </c>
      <c r="D69" s="15"/>
    </row>
    <row r="70" spans="1:4" x14ac:dyDescent="0.25">
      <c r="A70" s="20"/>
      <c r="B70" s="3" t="s">
        <v>88</v>
      </c>
      <c r="C70" s="4">
        <v>1000</v>
      </c>
      <c r="D70" s="15"/>
    </row>
    <row r="71" spans="1:4" x14ac:dyDescent="0.25">
      <c r="A71" s="16" t="s">
        <v>89</v>
      </c>
      <c r="B71" s="2"/>
      <c r="C71" s="6">
        <f>SUM(C69:C70)</f>
        <v>1174</v>
      </c>
      <c r="D71" s="21"/>
    </row>
    <row r="72" spans="1:4" x14ac:dyDescent="0.25">
      <c r="A72" s="20"/>
      <c r="B72" s="3"/>
      <c r="C72" s="3"/>
      <c r="D72" s="19"/>
    </row>
    <row r="73" spans="1:4" x14ac:dyDescent="0.25">
      <c r="A73" s="13" t="s">
        <v>90</v>
      </c>
      <c r="B73" s="2"/>
      <c r="C73" s="2"/>
      <c r="D73" s="14"/>
    </row>
    <row r="74" spans="1:4" x14ac:dyDescent="0.25">
      <c r="A74" s="20"/>
      <c r="B74" s="3" t="s">
        <v>91</v>
      </c>
      <c r="C74" s="4">
        <v>132</v>
      </c>
      <c r="D74" s="15"/>
    </row>
    <row r="75" spans="1:4" x14ac:dyDescent="0.25">
      <c r="A75" s="20"/>
      <c r="B75" s="3" t="s">
        <v>92</v>
      </c>
      <c r="C75" s="4">
        <v>1000</v>
      </c>
      <c r="D75" s="15"/>
    </row>
    <row r="76" spans="1:4" x14ac:dyDescent="0.25">
      <c r="A76" s="20"/>
      <c r="B76" s="3" t="s">
        <v>93</v>
      </c>
      <c r="C76" s="4">
        <v>500</v>
      </c>
      <c r="D76" s="15"/>
    </row>
    <row r="77" spans="1:4" x14ac:dyDescent="0.25">
      <c r="A77" s="16" t="s">
        <v>94</v>
      </c>
      <c r="B77" s="2"/>
      <c r="C77" s="6">
        <f>SUM(C74:C76)</f>
        <v>1632</v>
      </c>
      <c r="D77" s="21"/>
    </row>
    <row r="78" spans="1:4" x14ac:dyDescent="0.25">
      <c r="A78" s="20"/>
      <c r="B78" s="3"/>
      <c r="C78" s="3"/>
      <c r="D78" s="19"/>
    </row>
    <row r="79" spans="1:4" x14ac:dyDescent="0.25">
      <c r="A79" s="61" t="s">
        <v>95</v>
      </c>
      <c r="B79" s="62"/>
      <c r="C79" s="63">
        <f>SUM(C71, C77)</f>
        <v>2806</v>
      </c>
      <c r="D79" s="65"/>
    </row>
    <row r="80" spans="1:4" x14ac:dyDescent="0.25">
      <c r="A80" s="20"/>
      <c r="B80" s="3"/>
      <c r="C80" s="3"/>
      <c r="D80" s="19"/>
    </row>
    <row r="81" spans="1:4" x14ac:dyDescent="0.25">
      <c r="A81" s="51" t="s">
        <v>96</v>
      </c>
      <c r="B81" s="52"/>
      <c r="C81" s="52"/>
      <c r="D81" s="53"/>
    </row>
    <row r="82" spans="1:4" x14ac:dyDescent="0.25">
      <c r="A82" s="18"/>
      <c r="B82" s="3"/>
      <c r="C82" s="3"/>
      <c r="D82" s="19"/>
    </row>
    <row r="83" spans="1:4" x14ac:dyDescent="0.25">
      <c r="A83" s="13" t="s">
        <v>97</v>
      </c>
      <c r="B83" s="2"/>
      <c r="C83" s="2"/>
      <c r="D83" s="14"/>
    </row>
    <row r="84" spans="1:4" x14ac:dyDescent="0.25">
      <c r="A84" s="20"/>
      <c r="B84" s="3" t="s">
        <v>98</v>
      </c>
      <c r="C84" s="4">
        <v>35000</v>
      </c>
      <c r="D84" s="15"/>
    </row>
    <row r="85" spans="1:4" x14ac:dyDescent="0.25">
      <c r="A85" s="20"/>
      <c r="B85" s="3" t="s">
        <v>99</v>
      </c>
      <c r="C85" s="4">
        <v>17500</v>
      </c>
      <c r="D85" s="15"/>
    </row>
    <row r="86" spans="1:4" x14ac:dyDescent="0.25">
      <c r="A86" s="20"/>
      <c r="B86" s="3" t="s">
        <v>100</v>
      </c>
      <c r="C86" s="4">
        <v>7000</v>
      </c>
      <c r="D86" s="15"/>
    </row>
    <row r="87" spans="1:4" x14ac:dyDescent="0.25">
      <c r="A87" s="16" t="s">
        <v>101</v>
      </c>
      <c r="B87" s="2"/>
      <c r="C87" s="5">
        <f>SUM(C84:C86)</f>
        <v>59500</v>
      </c>
      <c r="D87" s="21"/>
    </row>
    <row r="88" spans="1:4" x14ac:dyDescent="0.25">
      <c r="A88" s="20"/>
      <c r="B88" s="3"/>
      <c r="C88" s="3"/>
      <c r="D88" s="19"/>
    </row>
    <row r="89" spans="1:4" x14ac:dyDescent="0.25">
      <c r="A89" s="13" t="s">
        <v>102</v>
      </c>
      <c r="B89" s="2"/>
      <c r="C89" s="2"/>
      <c r="D89" s="14"/>
    </row>
    <row r="90" spans="1:4" x14ac:dyDescent="0.25">
      <c r="A90" s="20"/>
      <c r="B90" s="3" t="s">
        <v>103</v>
      </c>
      <c r="C90" s="4">
        <v>4000</v>
      </c>
      <c r="D90" s="15"/>
    </row>
    <row r="91" spans="1:4" x14ac:dyDescent="0.25">
      <c r="A91" s="20"/>
      <c r="B91" s="3" t="s">
        <v>2137</v>
      </c>
      <c r="C91" s="4">
        <v>1000</v>
      </c>
      <c r="D91" s="15"/>
    </row>
    <row r="92" spans="1:4" x14ac:dyDescent="0.25">
      <c r="A92" s="20"/>
      <c r="B92" s="3" t="s">
        <v>1993</v>
      </c>
      <c r="C92" s="4">
        <v>3000</v>
      </c>
      <c r="D92" s="15"/>
    </row>
    <row r="93" spans="1:4" x14ac:dyDescent="0.25">
      <c r="A93" s="16" t="s">
        <v>105</v>
      </c>
      <c r="B93" s="2"/>
      <c r="C93" s="6">
        <f>SUM(C90:C92)</f>
        <v>8000</v>
      </c>
      <c r="D93" s="21"/>
    </row>
    <row r="94" spans="1:4" x14ac:dyDescent="0.25">
      <c r="A94" s="20"/>
      <c r="B94" s="3"/>
      <c r="C94" s="3"/>
      <c r="D94" s="19"/>
    </row>
    <row r="95" spans="1:4" x14ac:dyDescent="0.25">
      <c r="A95" s="54" t="s">
        <v>106</v>
      </c>
      <c r="B95" s="55"/>
      <c r="C95" s="56">
        <f>SUM(C87, C93)</f>
        <v>67500</v>
      </c>
      <c r="D95" s="57"/>
    </row>
    <row r="96" spans="1:4" x14ac:dyDescent="0.25">
      <c r="A96" s="20"/>
      <c r="B96" s="3"/>
      <c r="C96" s="3"/>
      <c r="D96" s="19"/>
    </row>
    <row r="97" spans="1:4" x14ac:dyDescent="0.25">
      <c r="A97" s="44" t="s">
        <v>107</v>
      </c>
      <c r="B97" s="45"/>
      <c r="C97" s="45"/>
      <c r="D97" s="46"/>
    </row>
    <row r="98" spans="1:4" x14ac:dyDescent="0.25">
      <c r="A98" s="18"/>
      <c r="B98" s="3"/>
      <c r="C98" s="3"/>
      <c r="D98" s="19"/>
    </row>
    <row r="99" spans="1:4" x14ac:dyDescent="0.25">
      <c r="A99" s="13" t="s">
        <v>108</v>
      </c>
      <c r="B99" s="2"/>
      <c r="C99" s="2"/>
      <c r="D99" s="14"/>
    </row>
    <row r="100" spans="1:4" x14ac:dyDescent="0.25">
      <c r="A100" s="20"/>
      <c r="B100" s="3" t="s">
        <v>109</v>
      </c>
      <c r="C100" s="4">
        <v>3250</v>
      </c>
      <c r="D100" s="15"/>
    </row>
    <row r="101" spans="1:4" x14ac:dyDescent="0.25">
      <c r="A101" s="16" t="s">
        <v>110</v>
      </c>
      <c r="B101" s="2"/>
      <c r="C101" s="6">
        <f>SUM(C100:C100)</f>
        <v>3250</v>
      </c>
      <c r="D101" s="21"/>
    </row>
    <row r="102" spans="1:4" x14ac:dyDescent="0.25">
      <c r="A102" s="20"/>
      <c r="B102" s="3"/>
      <c r="C102" s="3"/>
      <c r="D102" s="19"/>
    </row>
    <row r="103" spans="1:4" x14ac:dyDescent="0.25">
      <c r="A103" s="13" t="s">
        <v>111</v>
      </c>
      <c r="B103" s="2"/>
      <c r="C103" s="2"/>
      <c r="D103" s="14"/>
    </row>
    <row r="104" spans="1:4" x14ac:dyDescent="0.25">
      <c r="A104" s="20"/>
      <c r="B104" s="3" t="s">
        <v>112</v>
      </c>
      <c r="C104" s="4">
        <v>17000</v>
      </c>
      <c r="D104" s="15" t="s">
        <v>1972</v>
      </c>
    </row>
    <row r="105" spans="1:4" x14ac:dyDescent="0.25">
      <c r="A105" s="20"/>
      <c r="B105" s="3" t="s">
        <v>1992</v>
      </c>
      <c r="C105" s="4">
        <v>20000</v>
      </c>
      <c r="D105" s="103" t="s">
        <v>1994</v>
      </c>
    </row>
    <row r="106" spans="1:4" x14ac:dyDescent="0.25">
      <c r="A106" s="16" t="s">
        <v>113</v>
      </c>
      <c r="B106" s="2"/>
      <c r="C106" s="6">
        <f>SUM(C104:C105)</f>
        <v>37000</v>
      </c>
      <c r="D106" s="21"/>
    </row>
    <row r="107" spans="1:4" x14ac:dyDescent="0.25">
      <c r="A107" s="22"/>
      <c r="B107" s="3"/>
      <c r="C107" s="3"/>
      <c r="D107" s="19"/>
    </row>
    <row r="108" spans="1:4" x14ac:dyDescent="0.25">
      <c r="A108" s="13" t="s">
        <v>114</v>
      </c>
      <c r="B108" s="2"/>
      <c r="C108" s="2"/>
      <c r="D108" s="14"/>
    </row>
    <row r="109" spans="1:4" x14ac:dyDescent="0.25">
      <c r="A109" s="20"/>
      <c r="B109" s="3" t="s">
        <v>115</v>
      </c>
      <c r="C109" s="4">
        <v>2000</v>
      </c>
      <c r="D109" s="15"/>
    </row>
    <row r="110" spans="1:4" x14ac:dyDescent="0.25">
      <c r="A110" s="16" t="s">
        <v>116</v>
      </c>
      <c r="B110" s="2"/>
      <c r="C110" s="6">
        <f>SUM(C109:C109)</f>
        <v>2000</v>
      </c>
      <c r="D110" s="21"/>
    </row>
    <row r="111" spans="1:4" x14ac:dyDescent="0.25">
      <c r="A111" s="20"/>
      <c r="B111" s="3"/>
      <c r="C111" s="3"/>
      <c r="D111" s="19"/>
    </row>
    <row r="112" spans="1:4" x14ac:dyDescent="0.25">
      <c r="A112" s="13" t="s">
        <v>117</v>
      </c>
      <c r="B112" s="2"/>
      <c r="C112" s="2"/>
      <c r="D112" s="14"/>
    </row>
    <row r="113" spans="1:4" x14ac:dyDescent="0.25">
      <c r="A113" s="20"/>
      <c r="B113" s="3" t="s">
        <v>118</v>
      </c>
      <c r="C113" s="4">
        <v>4500</v>
      </c>
      <c r="D113" s="15" t="s">
        <v>1973</v>
      </c>
    </row>
    <row r="114" spans="1:4" x14ac:dyDescent="0.25">
      <c r="A114" s="20"/>
      <c r="B114" s="3" t="s">
        <v>119</v>
      </c>
      <c r="C114" s="4">
        <v>3000</v>
      </c>
      <c r="D114" s="15"/>
    </row>
    <row r="115" spans="1:4" x14ac:dyDescent="0.25">
      <c r="A115" s="20"/>
      <c r="B115" s="3" t="s">
        <v>120</v>
      </c>
      <c r="C115" s="4">
        <v>4500</v>
      </c>
      <c r="D115" s="15"/>
    </row>
    <row r="116" spans="1:4" x14ac:dyDescent="0.25">
      <c r="A116" s="16" t="s">
        <v>121</v>
      </c>
      <c r="B116" s="2"/>
      <c r="C116" s="6">
        <f>SUM(C113:C115)</f>
        <v>12000</v>
      </c>
      <c r="D116" s="21"/>
    </row>
    <row r="117" spans="1:4" x14ac:dyDescent="0.25">
      <c r="A117" s="20"/>
      <c r="B117" s="3"/>
      <c r="C117" s="3"/>
      <c r="D117" s="19"/>
    </row>
    <row r="118" spans="1:4" x14ac:dyDescent="0.25">
      <c r="A118" s="47" t="s">
        <v>167</v>
      </c>
      <c r="B118" s="48"/>
      <c r="C118" s="49">
        <f>SUM(C101, C106, C110, C116)</f>
        <v>54250</v>
      </c>
      <c r="D118" s="50"/>
    </row>
    <row r="119" spans="1:4" x14ac:dyDescent="0.25">
      <c r="A119" s="20"/>
      <c r="B119" s="3"/>
      <c r="C119" s="3"/>
      <c r="D119" s="19"/>
    </row>
    <row r="120" spans="1:4" x14ac:dyDescent="0.25">
      <c r="A120" s="38" t="s">
        <v>131</v>
      </c>
      <c r="B120" s="39"/>
      <c r="C120" s="39"/>
      <c r="D120" s="40"/>
    </row>
    <row r="121" spans="1:4" x14ac:dyDescent="0.25">
      <c r="A121" s="18"/>
      <c r="B121" s="3"/>
      <c r="C121" s="3"/>
      <c r="D121" s="19"/>
    </row>
    <row r="122" spans="1:4" x14ac:dyDescent="0.25">
      <c r="A122" s="13" t="s">
        <v>122</v>
      </c>
      <c r="B122" s="2"/>
      <c r="C122" s="2"/>
      <c r="D122" s="14"/>
    </row>
    <row r="123" spans="1:4" x14ac:dyDescent="0.25">
      <c r="A123" s="20"/>
      <c r="B123" s="3" t="s">
        <v>123</v>
      </c>
      <c r="C123" s="4">
        <v>26070</v>
      </c>
      <c r="D123" s="15"/>
    </row>
    <row r="124" spans="1:4" x14ac:dyDescent="0.25">
      <c r="A124" s="16" t="s">
        <v>124</v>
      </c>
      <c r="B124" s="2"/>
      <c r="C124" s="6">
        <f>SUM(C123:C123)</f>
        <v>26070</v>
      </c>
      <c r="D124" s="21"/>
    </row>
    <row r="125" spans="1:4" x14ac:dyDescent="0.25">
      <c r="A125" s="20"/>
      <c r="B125" s="3"/>
      <c r="C125" s="3"/>
      <c r="D125" s="19"/>
    </row>
    <row r="126" spans="1:4" x14ac:dyDescent="0.25">
      <c r="A126" s="37" t="s">
        <v>125</v>
      </c>
      <c r="B126" s="41"/>
      <c r="C126" s="42">
        <f>SUM(C124)</f>
        <v>26070</v>
      </c>
      <c r="D126" s="43"/>
    </row>
    <row r="127" spans="1:4" x14ac:dyDescent="0.25">
      <c r="A127" s="23"/>
      <c r="B127" s="7"/>
      <c r="C127" s="7"/>
      <c r="D127" s="24"/>
    </row>
    <row r="128" spans="1:4" x14ac:dyDescent="0.25">
      <c r="A128" s="23"/>
      <c r="B128" s="7"/>
      <c r="C128" s="7"/>
      <c r="D128" s="24"/>
    </row>
    <row r="129" spans="1:4" ht="15.75" x14ac:dyDescent="0.25">
      <c r="A129" s="25" t="s">
        <v>1975</v>
      </c>
      <c r="B129" s="8"/>
      <c r="C129" s="9">
        <f>SUM(C34)</f>
        <v>238000</v>
      </c>
      <c r="D129" s="26"/>
    </row>
    <row r="130" spans="1:4" ht="15.75" x14ac:dyDescent="0.25">
      <c r="A130" s="25" t="s">
        <v>1976</v>
      </c>
      <c r="B130" s="8"/>
      <c r="C130" s="9">
        <f>SUM(C64,C79,C95,C118,C126)</f>
        <v>261805.16</v>
      </c>
      <c r="D130" s="26"/>
    </row>
    <row r="131" spans="1:4" ht="16.5" thickBot="1" x14ac:dyDescent="0.3">
      <c r="A131" s="27" t="s">
        <v>128</v>
      </c>
      <c r="B131" s="28"/>
      <c r="C131" s="29">
        <f>C129-C130</f>
        <v>-23805.160000000003</v>
      </c>
      <c r="D131" s="31"/>
    </row>
    <row r="133" spans="1:4" x14ac:dyDescent="0.25">
      <c r="C133" s="93"/>
    </row>
  </sheetData>
  <mergeCells count="3">
    <mergeCell ref="A2:D3"/>
    <mergeCell ref="A36:D36"/>
    <mergeCell ref="A6:D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C132C-3151-4D2B-A4C7-481629847B97}">
  <dimension ref="A1:F87"/>
  <sheetViews>
    <sheetView workbookViewId="0">
      <selection activeCell="E65" sqref="E65"/>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522928</v>
      </c>
      <c r="B2" s="35" t="s">
        <v>211</v>
      </c>
      <c r="C2" s="35" t="s">
        <v>178</v>
      </c>
      <c r="D2" s="35" t="s">
        <v>2023</v>
      </c>
      <c r="E2" s="35">
        <v>132</v>
      </c>
      <c r="F2" s="34">
        <v>43617</v>
      </c>
    </row>
    <row r="3" spans="1:6" ht="15.75" x14ac:dyDescent="0.25">
      <c r="A3" s="35">
        <v>587890</v>
      </c>
      <c r="B3" s="35" t="s">
        <v>32</v>
      </c>
      <c r="C3" s="35" t="s">
        <v>441</v>
      </c>
      <c r="D3" s="35" t="s">
        <v>2024</v>
      </c>
      <c r="E3" s="35">
        <v>272.39999999999998</v>
      </c>
      <c r="F3" s="34">
        <v>43617</v>
      </c>
    </row>
    <row r="4" spans="1:6" ht="15.75" x14ac:dyDescent="0.25">
      <c r="A4" s="35">
        <v>522810</v>
      </c>
      <c r="B4" s="35" t="s">
        <v>2025</v>
      </c>
      <c r="C4" s="35" t="s">
        <v>2026</v>
      </c>
      <c r="D4" s="35" t="s">
        <v>2027</v>
      </c>
      <c r="E4" s="35">
        <v>350</v>
      </c>
      <c r="F4" s="34">
        <v>43619</v>
      </c>
    </row>
    <row r="5" spans="1:6" ht="15.75" x14ac:dyDescent="0.25">
      <c r="A5" s="35">
        <v>526741</v>
      </c>
      <c r="B5" s="35" t="s">
        <v>23</v>
      </c>
      <c r="C5" s="35" t="s">
        <v>1685</v>
      </c>
      <c r="D5" s="35" t="s">
        <v>2028</v>
      </c>
      <c r="E5" s="35">
        <v>1199.2</v>
      </c>
      <c r="F5" s="34">
        <v>43620</v>
      </c>
    </row>
    <row r="6" spans="1:6" ht="15.75" x14ac:dyDescent="0.25">
      <c r="A6" s="35">
        <v>526741</v>
      </c>
      <c r="B6" s="35" t="s">
        <v>23</v>
      </c>
      <c r="C6" s="35" t="s">
        <v>1685</v>
      </c>
      <c r="D6" s="35" t="s">
        <v>2029</v>
      </c>
      <c r="E6" s="35">
        <v>84.8</v>
      </c>
      <c r="F6" s="34">
        <v>43620</v>
      </c>
    </row>
    <row r="7" spans="1:6" ht="15.75" x14ac:dyDescent="0.25">
      <c r="A7" s="35">
        <v>558921</v>
      </c>
      <c r="B7" s="35" t="s">
        <v>262</v>
      </c>
      <c r="C7" s="35" t="s">
        <v>2030</v>
      </c>
      <c r="D7" s="35" t="s">
        <v>2031</v>
      </c>
      <c r="E7" s="35">
        <v>112.5</v>
      </c>
      <c r="F7" s="34">
        <v>43620</v>
      </c>
    </row>
    <row r="8" spans="1:6" ht="15.75" x14ac:dyDescent="0.25">
      <c r="A8" s="35">
        <v>558921</v>
      </c>
      <c r="B8" s="35" t="s">
        <v>262</v>
      </c>
      <c r="C8" s="35" t="s">
        <v>2032</v>
      </c>
      <c r="D8" s="35" t="s">
        <v>2033</v>
      </c>
      <c r="E8" s="35">
        <v>240.02</v>
      </c>
      <c r="F8" s="34">
        <v>43620</v>
      </c>
    </row>
    <row r="9" spans="1:6" ht="15.75" x14ac:dyDescent="0.25">
      <c r="A9" s="35">
        <v>558921</v>
      </c>
      <c r="B9" s="35" t="s">
        <v>262</v>
      </c>
      <c r="C9" s="35" t="s">
        <v>2032</v>
      </c>
      <c r="D9" s="35" t="s">
        <v>2034</v>
      </c>
      <c r="E9" s="35">
        <v>143.9</v>
      </c>
      <c r="F9" s="34">
        <v>43620</v>
      </c>
    </row>
    <row r="10" spans="1:6" ht="15.75" x14ac:dyDescent="0.25">
      <c r="A10" s="35">
        <v>531110</v>
      </c>
      <c r="B10" s="35" t="s">
        <v>27</v>
      </c>
      <c r="C10" s="35" t="s">
        <v>2035</v>
      </c>
      <c r="D10" s="35" t="s">
        <v>2036</v>
      </c>
      <c r="E10" s="35">
        <v>-5.51</v>
      </c>
      <c r="F10" s="34">
        <v>43622</v>
      </c>
    </row>
    <row r="11" spans="1:6" ht="15.75" x14ac:dyDescent="0.25">
      <c r="A11" s="35">
        <v>487110</v>
      </c>
      <c r="B11" s="35" t="s">
        <v>36</v>
      </c>
      <c r="C11" s="35" t="s">
        <v>2037</v>
      </c>
      <c r="D11" s="35" t="s">
        <v>2038</v>
      </c>
      <c r="E11" s="35">
        <v>488.28</v>
      </c>
      <c r="F11" s="34">
        <v>43626</v>
      </c>
    </row>
    <row r="12" spans="1:6" ht="15.75" x14ac:dyDescent="0.25">
      <c r="A12" s="35">
        <v>526712</v>
      </c>
      <c r="B12" s="35" t="s">
        <v>14</v>
      </c>
      <c r="C12" s="35" t="s">
        <v>2039</v>
      </c>
      <c r="D12" s="35" t="s">
        <v>2040</v>
      </c>
      <c r="E12" s="35">
        <v>150.47999999999999</v>
      </c>
      <c r="F12" s="34">
        <v>43628</v>
      </c>
    </row>
    <row r="13" spans="1:6" ht="15.75" x14ac:dyDescent="0.25">
      <c r="A13" s="35">
        <v>526712</v>
      </c>
      <c r="B13" s="35" t="s">
        <v>14</v>
      </c>
      <c r="C13" s="35" t="s">
        <v>2026</v>
      </c>
      <c r="D13" s="35" t="s">
        <v>2041</v>
      </c>
      <c r="E13" s="35">
        <v>36.159999999999997</v>
      </c>
      <c r="F13" s="34">
        <v>43628</v>
      </c>
    </row>
    <row r="14" spans="1:6" ht="15.75" x14ac:dyDescent="0.25">
      <c r="A14" s="35">
        <v>526712</v>
      </c>
      <c r="B14" s="35" t="s">
        <v>14</v>
      </c>
      <c r="C14" s="35" t="s">
        <v>1346</v>
      </c>
      <c r="D14" s="35" t="s">
        <v>2042</v>
      </c>
      <c r="E14" s="35">
        <v>109.56</v>
      </c>
      <c r="F14" s="34">
        <v>43628</v>
      </c>
    </row>
    <row r="15" spans="1:6" ht="15.75" x14ac:dyDescent="0.25">
      <c r="A15" s="35">
        <v>526712</v>
      </c>
      <c r="B15" s="35" t="s">
        <v>14</v>
      </c>
      <c r="C15" s="35" t="s">
        <v>281</v>
      </c>
      <c r="D15" s="35" t="s">
        <v>2043</v>
      </c>
      <c r="E15" s="35">
        <v>62.88</v>
      </c>
      <c r="F15" s="34">
        <v>43628</v>
      </c>
    </row>
    <row r="16" spans="1:6" ht="15.75" x14ac:dyDescent="0.25">
      <c r="A16" s="35">
        <v>526712</v>
      </c>
      <c r="B16" s="35" t="s">
        <v>14</v>
      </c>
      <c r="C16" s="35" t="s">
        <v>2002</v>
      </c>
      <c r="D16" s="35" t="s">
        <v>2044</v>
      </c>
      <c r="E16" s="35">
        <v>62.4</v>
      </c>
      <c r="F16" s="34">
        <v>43628</v>
      </c>
    </row>
    <row r="17" spans="1:6" ht="15.75" x14ac:dyDescent="0.25">
      <c r="A17" s="35">
        <v>526712</v>
      </c>
      <c r="B17" s="35" t="s">
        <v>14</v>
      </c>
      <c r="C17" s="35" t="s">
        <v>2045</v>
      </c>
      <c r="D17" s="35" t="s">
        <v>2046</v>
      </c>
      <c r="E17" s="35">
        <v>102.3</v>
      </c>
      <c r="F17" s="34">
        <v>43628</v>
      </c>
    </row>
    <row r="18" spans="1:6" ht="15.75" x14ac:dyDescent="0.25">
      <c r="A18" s="35">
        <v>526712</v>
      </c>
      <c r="B18" s="35" t="s">
        <v>14</v>
      </c>
      <c r="C18" s="35" t="s">
        <v>1486</v>
      </c>
      <c r="D18" s="35" t="s">
        <v>2047</v>
      </c>
      <c r="E18" s="35">
        <v>71.94</v>
      </c>
      <c r="F18" s="34">
        <v>43628</v>
      </c>
    </row>
    <row r="19" spans="1:6" ht="15.75" x14ac:dyDescent="0.25">
      <c r="A19" s="35">
        <v>526712</v>
      </c>
      <c r="B19" s="35" t="s">
        <v>14</v>
      </c>
      <c r="C19" s="35" t="s">
        <v>2048</v>
      </c>
      <c r="D19" s="35" t="s">
        <v>2049</v>
      </c>
      <c r="E19" s="35">
        <v>66.66</v>
      </c>
      <c r="F19" s="34">
        <v>43628</v>
      </c>
    </row>
    <row r="20" spans="1:6" ht="15.75" x14ac:dyDescent="0.25">
      <c r="A20" s="35">
        <v>526712</v>
      </c>
      <c r="B20" s="35" t="s">
        <v>14</v>
      </c>
      <c r="C20" s="35" t="s">
        <v>2050</v>
      </c>
      <c r="D20" s="35" t="s">
        <v>2051</v>
      </c>
      <c r="E20" s="35">
        <v>46.2</v>
      </c>
      <c r="F20" s="34">
        <v>43628</v>
      </c>
    </row>
    <row r="21" spans="1:6" ht="15.75" x14ac:dyDescent="0.25">
      <c r="A21" s="35">
        <v>526712</v>
      </c>
      <c r="B21" s="35" t="s">
        <v>14</v>
      </c>
      <c r="C21" s="35" t="s">
        <v>1493</v>
      </c>
      <c r="D21" s="35" t="s">
        <v>2052</v>
      </c>
      <c r="E21" s="35">
        <v>41.64</v>
      </c>
      <c r="F21" s="34">
        <v>43628</v>
      </c>
    </row>
    <row r="22" spans="1:6" ht="15.75" x14ac:dyDescent="0.25">
      <c r="A22" s="35">
        <v>526712</v>
      </c>
      <c r="B22" s="35" t="s">
        <v>14</v>
      </c>
      <c r="C22" s="35" t="s">
        <v>1431</v>
      </c>
      <c r="D22" s="35" t="s">
        <v>2053</v>
      </c>
      <c r="E22" s="35">
        <v>51.5</v>
      </c>
      <c r="F22" s="34">
        <v>43628</v>
      </c>
    </row>
    <row r="23" spans="1:6" ht="15.75" x14ac:dyDescent="0.25">
      <c r="A23" s="35">
        <v>526712</v>
      </c>
      <c r="B23" s="35" t="s">
        <v>14</v>
      </c>
      <c r="C23" s="35" t="s">
        <v>1410</v>
      </c>
      <c r="D23" s="35" t="s">
        <v>2054</v>
      </c>
      <c r="E23" s="35">
        <v>68.64</v>
      </c>
      <c r="F23" s="34">
        <v>43628</v>
      </c>
    </row>
    <row r="24" spans="1:6" ht="15.75" x14ac:dyDescent="0.25">
      <c r="A24" s="35">
        <v>526712</v>
      </c>
      <c r="B24" s="35" t="s">
        <v>14</v>
      </c>
      <c r="C24" s="35" t="s">
        <v>942</v>
      </c>
      <c r="D24" s="35" t="s">
        <v>2055</v>
      </c>
      <c r="E24" s="35">
        <v>21.93</v>
      </c>
      <c r="F24" s="34">
        <v>43628</v>
      </c>
    </row>
    <row r="25" spans="1:6" ht="15.75" x14ac:dyDescent="0.25">
      <c r="A25" s="35">
        <v>526712</v>
      </c>
      <c r="B25" s="35" t="s">
        <v>14</v>
      </c>
      <c r="C25" s="35" t="s">
        <v>1531</v>
      </c>
      <c r="D25" s="35" t="s">
        <v>2056</v>
      </c>
      <c r="E25" s="35">
        <v>82.5</v>
      </c>
      <c r="F25" s="34">
        <v>43628</v>
      </c>
    </row>
    <row r="26" spans="1:6" ht="15.75" x14ac:dyDescent="0.25">
      <c r="A26" s="35">
        <v>526742</v>
      </c>
      <c r="B26" s="35" t="s">
        <v>26</v>
      </c>
      <c r="C26" s="35" t="s">
        <v>2039</v>
      </c>
      <c r="D26" s="35" t="s">
        <v>2040</v>
      </c>
      <c r="E26" s="35">
        <v>18.899999999999999</v>
      </c>
      <c r="F26" s="34">
        <v>43628</v>
      </c>
    </row>
    <row r="27" spans="1:6" ht="15.75" x14ac:dyDescent="0.25">
      <c r="A27" s="35">
        <v>526742</v>
      </c>
      <c r="B27" s="35" t="s">
        <v>26</v>
      </c>
      <c r="C27" s="35" t="s">
        <v>2045</v>
      </c>
      <c r="D27" s="35" t="s">
        <v>2046</v>
      </c>
      <c r="E27" s="35">
        <v>18.899999999999999</v>
      </c>
      <c r="F27" s="34">
        <v>43628</v>
      </c>
    </row>
    <row r="28" spans="1:6" ht="15.75" x14ac:dyDescent="0.25">
      <c r="A28" s="35">
        <v>526742</v>
      </c>
      <c r="B28" s="35" t="s">
        <v>26</v>
      </c>
      <c r="C28" s="35" t="s">
        <v>1486</v>
      </c>
      <c r="D28" s="35" t="s">
        <v>2047</v>
      </c>
      <c r="E28" s="35">
        <v>18.899999999999999</v>
      </c>
      <c r="F28" s="34">
        <v>43628</v>
      </c>
    </row>
    <row r="29" spans="1:6" ht="15.75" x14ac:dyDescent="0.25">
      <c r="A29" s="35">
        <v>526742</v>
      </c>
      <c r="B29" s="35" t="s">
        <v>26</v>
      </c>
      <c r="C29" s="35" t="s">
        <v>1346</v>
      </c>
      <c r="D29" s="35" t="s">
        <v>2042</v>
      </c>
      <c r="E29" s="35">
        <v>18.899999999999999</v>
      </c>
      <c r="F29" s="34">
        <v>43628</v>
      </c>
    </row>
    <row r="30" spans="1:6" ht="15.75" x14ac:dyDescent="0.25">
      <c r="A30" s="35">
        <v>526742</v>
      </c>
      <c r="B30" s="35" t="s">
        <v>26</v>
      </c>
      <c r="C30" s="35" t="s">
        <v>2026</v>
      </c>
      <c r="D30" s="35" t="s">
        <v>2041</v>
      </c>
      <c r="E30" s="35">
        <v>18.899999999999999</v>
      </c>
      <c r="F30" s="34">
        <v>43628</v>
      </c>
    </row>
    <row r="31" spans="1:6" ht="15.75" x14ac:dyDescent="0.25">
      <c r="A31" s="35">
        <v>526742</v>
      </c>
      <c r="B31" s="35" t="s">
        <v>26</v>
      </c>
      <c r="C31" s="35" t="s">
        <v>2050</v>
      </c>
      <c r="D31" s="35" t="s">
        <v>2051</v>
      </c>
      <c r="E31" s="35">
        <v>18.899999999999999</v>
      </c>
      <c r="F31" s="34">
        <v>43628</v>
      </c>
    </row>
    <row r="32" spans="1:6" ht="15.75" x14ac:dyDescent="0.25">
      <c r="A32" s="35">
        <v>526742</v>
      </c>
      <c r="B32" s="35" t="s">
        <v>26</v>
      </c>
      <c r="C32" s="35" t="s">
        <v>942</v>
      </c>
      <c r="D32" s="35" t="s">
        <v>2055</v>
      </c>
      <c r="E32" s="35">
        <v>18.899999999999999</v>
      </c>
      <c r="F32" s="34">
        <v>43628</v>
      </c>
    </row>
    <row r="33" spans="1:6" ht="15.75" x14ac:dyDescent="0.25">
      <c r="A33" s="35">
        <v>526742</v>
      </c>
      <c r="B33" s="35" t="s">
        <v>26</v>
      </c>
      <c r="C33" s="35" t="s">
        <v>2048</v>
      </c>
      <c r="D33" s="35" t="s">
        <v>2049</v>
      </c>
      <c r="E33" s="35">
        <v>18.899999999999999</v>
      </c>
      <c r="F33" s="34">
        <v>43628</v>
      </c>
    </row>
    <row r="34" spans="1:6" ht="15.75" x14ac:dyDescent="0.25">
      <c r="A34" s="35">
        <v>558979</v>
      </c>
      <c r="B34" s="35" t="s">
        <v>150</v>
      </c>
      <c r="C34" s="35" t="s">
        <v>1536</v>
      </c>
      <c r="D34" s="35" t="s">
        <v>2057</v>
      </c>
      <c r="E34" s="35">
        <v>125</v>
      </c>
      <c r="F34" s="34">
        <v>43629</v>
      </c>
    </row>
    <row r="35" spans="1:6" ht="15.75" x14ac:dyDescent="0.25">
      <c r="A35" s="35">
        <v>558979</v>
      </c>
      <c r="B35" s="35" t="s">
        <v>150</v>
      </c>
      <c r="C35" s="35" t="s">
        <v>1517</v>
      </c>
      <c r="D35" s="35" t="s">
        <v>2058</v>
      </c>
      <c r="E35" s="35">
        <v>125</v>
      </c>
      <c r="F35" s="34">
        <v>43629</v>
      </c>
    </row>
    <row r="36" spans="1:6" ht="15.75" x14ac:dyDescent="0.25">
      <c r="A36" s="35">
        <v>558979</v>
      </c>
      <c r="B36" s="35" t="s">
        <v>150</v>
      </c>
      <c r="C36" s="35" t="s">
        <v>1001</v>
      </c>
      <c r="D36" s="35" t="s">
        <v>2059</v>
      </c>
      <c r="E36" s="35">
        <v>200</v>
      </c>
      <c r="F36" s="34">
        <v>43629</v>
      </c>
    </row>
    <row r="37" spans="1:6" ht="15.75" x14ac:dyDescent="0.25">
      <c r="A37" s="35">
        <v>558979</v>
      </c>
      <c r="B37" s="35" t="s">
        <v>150</v>
      </c>
      <c r="C37" s="35" t="s">
        <v>1540</v>
      </c>
      <c r="D37" s="35" t="s">
        <v>2060</v>
      </c>
      <c r="E37" s="35">
        <v>125</v>
      </c>
      <c r="F37" s="34">
        <v>43629</v>
      </c>
    </row>
    <row r="38" spans="1:6" ht="15.75" x14ac:dyDescent="0.25">
      <c r="A38" s="35">
        <v>558979</v>
      </c>
      <c r="B38" s="35" t="s">
        <v>150</v>
      </c>
      <c r="C38" s="35" t="s">
        <v>1410</v>
      </c>
      <c r="D38" s="35" t="s">
        <v>2061</v>
      </c>
      <c r="E38" s="35">
        <v>200</v>
      </c>
      <c r="F38" s="34">
        <v>43629</v>
      </c>
    </row>
    <row r="39" spans="1:6" ht="15.75" x14ac:dyDescent="0.25">
      <c r="A39" s="35">
        <v>558979</v>
      </c>
      <c r="B39" s="35" t="s">
        <v>150</v>
      </c>
      <c r="C39" s="35" t="s">
        <v>1830</v>
      </c>
      <c r="D39" s="35" t="s">
        <v>2062</v>
      </c>
      <c r="E39" s="35">
        <v>200</v>
      </c>
      <c r="F39" s="34">
        <v>43629</v>
      </c>
    </row>
    <row r="40" spans="1:6" ht="15.75" x14ac:dyDescent="0.25">
      <c r="A40" s="35">
        <v>558979</v>
      </c>
      <c r="B40" s="35" t="s">
        <v>150</v>
      </c>
      <c r="C40" s="35" t="s">
        <v>927</v>
      </c>
      <c r="D40" s="35" t="s">
        <v>2063</v>
      </c>
      <c r="E40" s="35">
        <v>200</v>
      </c>
      <c r="F40" s="34">
        <v>43629</v>
      </c>
    </row>
    <row r="41" spans="1:6" ht="15.75" x14ac:dyDescent="0.25">
      <c r="A41" s="35">
        <v>558979</v>
      </c>
      <c r="B41" s="35" t="s">
        <v>150</v>
      </c>
      <c r="C41" s="35" t="s">
        <v>1953</v>
      </c>
      <c r="D41" s="35" t="s">
        <v>2064</v>
      </c>
      <c r="E41" s="35">
        <v>125</v>
      </c>
      <c r="F41" s="34">
        <v>43629</v>
      </c>
    </row>
    <row r="42" spans="1:6" ht="15.75" x14ac:dyDescent="0.25">
      <c r="A42" s="35">
        <v>558979</v>
      </c>
      <c r="B42" s="35" t="s">
        <v>150</v>
      </c>
      <c r="C42" s="35" t="s">
        <v>785</v>
      </c>
      <c r="D42" s="35" t="s">
        <v>2065</v>
      </c>
      <c r="E42" s="35">
        <v>200</v>
      </c>
      <c r="F42" s="34">
        <v>43629</v>
      </c>
    </row>
    <row r="43" spans="1:6" ht="15.75" x14ac:dyDescent="0.25">
      <c r="A43" s="35">
        <v>558979</v>
      </c>
      <c r="B43" s="35" t="s">
        <v>150</v>
      </c>
      <c r="C43" s="35" t="s">
        <v>1531</v>
      </c>
      <c r="D43" s="35" t="s">
        <v>2066</v>
      </c>
      <c r="E43" s="35">
        <v>125</v>
      </c>
      <c r="F43" s="34">
        <v>43629</v>
      </c>
    </row>
    <row r="44" spans="1:6" ht="15.75" x14ac:dyDescent="0.25">
      <c r="A44" s="35">
        <v>558979</v>
      </c>
      <c r="B44" s="35" t="s">
        <v>150</v>
      </c>
      <c r="C44" s="35" t="s">
        <v>1538</v>
      </c>
      <c r="D44" s="35" t="s">
        <v>2067</v>
      </c>
      <c r="E44" s="35">
        <v>125</v>
      </c>
      <c r="F44" s="34">
        <v>43629</v>
      </c>
    </row>
    <row r="45" spans="1:6" ht="15.75" x14ac:dyDescent="0.25">
      <c r="A45" s="35">
        <v>558979</v>
      </c>
      <c r="B45" s="35" t="s">
        <v>150</v>
      </c>
      <c r="C45" s="35" t="s">
        <v>1415</v>
      </c>
      <c r="D45" s="35" t="s">
        <v>2068</v>
      </c>
      <c r="E45" s="35">
        <v>200</v>
      </c>
      <c r="F45" s="34">
        <v>43629</v>
      </c>
    </row>
    <row r="46" spans="1:6" ht="15.75" x14ac:dyDescent="0.25">
      <c r="A46" s="35">
        <v>558979</v>
      </c>
      <c r="B46" s="35" t="s">
        <v>150</v>
      </c>
      <c r="C46" s="35" t="s">
        <v>789</v>
      </c>
      <c r="D46" s="35" t="s">
        <v>2069</v>
      </c>
      <c r="E46" s="35">
        <v>333.34</v>
      </c>
      <c r="F46" s="34">
        <v>43629</v>
      </c>
    </row>
    <row r="47" spans="1:6" ht="15.75" x14ac:dyDescent="0.25">
      <c r="A47" s="35">
        <v>558979</v>
      </c>
      <c r="B47" s="35" t="s">
        <v>150</v>
      </c>
      <c r="C47" s="35" t="s">
        <v>1519</v>
      </c>
      <c r="D47" s="35" t="s">
        <v>2070</v>
      </c>
      <c r="E47" s="35">
        <v>125</v>
      </c>
      <c r="F47" s="34">
        <v>43629</v>
      </c>
    </row>
    <row r="48" spans="1:6" ht="15.75" x14ac:dyDescent="0.25">
      <c r="A48" s="35">
        <v>558979</v>
      </c>
      <c r="B48" s="35" t="s">
        <v>150</v>
      </c>
      <c r="C48" s="35" t="s">
        <v>1216</v>
      </c>
      <c r="D48" s="35" t="s">
        <v>2071</v>
      </c>
      <c r="E48" s="35">
        <v>125</v>
      </c>
      <c r="F48" s="34">
        <v>43629</v>
      </c>
    </row>
    <row r="49" spans="1:6" ht="15.75" x14ac:dyDescent="0.25">
      <c r="A49" s="35">
        <v>558979</v>
      </c>
      <c r="B49" s="35" t="s">
        <v>150</v>
      </c>
      <c r="C49" s="35" t="s">
        <v>1062</v>
      </c>
      <c r="D49" s="35" t="s">
        <v>2072</v>
      </c>
      <c r="E49" s="35">
        <v>200</v>
      </c>
      <c r="F49" s="34">
        <v>43629</v>
      </c>
    </row>
    <row r="50" spans="1:6" ht="15.75" x14ac:dyDescent="0.25">
      <c r="A50" s="35">
        <v>558979</v>
      </c>
      <c r="B50" s="35" t="s">
        <v>150</v>
      </c>
      <c r="C50" s="35" t="s">
        <v>1029</v>
      </c>
      <c r="D50" s="35" t="s">
        <v>2073</v>
      </c>
      <c r="E50" s="35">
        <v>225</v>
      </c>
      <c r="F50" s="34">
        <v>43629</v>
      </c>
    </row>
    <row r="51" spans="1:6" ht="15.75" x14ac:dyDescent="0.25">
      <c r="A51" s="35">
        <v>558979</v>
      </c>
      <c r="B51" s="35" t="s">
        <v>150</v>
      </c>
      <c r="C51" s="35" t="s">
        <v>1521</v>
      </c>
      <c r="D51" s="35" t="s">
        <v>2074</v>
      </c>
      <c r="E51" s="35">
        <v>125</v>
      </c>
      <c r="F51" s="34">
        <v>43629</v>
      </c>
    </row>
    <row r="52" spans="1:6" ht="15.75" x14ac:dyDescent="0.25">
      <c r="A52" s="35">
        <v>558979</v>
      </c>
      <c r="B52" s="35" t="s">
        <v>150</v>
      </c>
      <c r="C52" s="35" t="s">
        <v>1525</v>
      </c>
      <c r="D52" s="35" t="s">
        <v>2075</v>
      </c>
      <c r="E52" s="35">
        <v>125</v>
      </c>
      <c r="F52" s="34">
        <v>43629</v>
      </c>
    </row>
    <row r="53" spans="1:6" ht="15.75" x14ac:dyDescent="0.25">
      <c r="A53" s="35">
        <v>558979</v>
      </c>
      <c r="B53" s="35" t="s">
        <v>150</v>
      </c>
      <c r="C53" s="35" t="s">
        <v>1431</v>
      </c>
      <c r="D53" s="35" t="s">
        <v>2076</v>
      </c>
      <c r="E53" s="35">
        <v>200</v>
      </c>
      <c r="F53" s="34">
        <v>43629</v>
      </c>
    </row>
    <row r="54" spans="1:6" ht="15.75" x14ac:dyDescent="0.25">
      <c r="A54" s="35">
        <v>558979</v>
      </c>
      <c r="B54" s="35" t="s">
        <v>150</v>
      </c>
      <c r="C54" s="35" t="s">
        <v>1529</v>
      </c>
      <c r="D54" s="35" t="s">
        <v>2077</v>
      </c>
      <c r="E54" s="35">
        <v>125</v>
      </c>
      <c r="F54" s="34">
        <v>43629</v>
      </c>
    </row>
    <row r="55" spans="1:6" ht="15.75" x14ac:dyDescent="0.25">
      <c r="A55" s="35">
        <v>558979</v>
      </c>
      <c r="B55" s="35" t="s">
        <v>150</v>
      </c>
      <c r="C55" s="35" t="s">
        <v>309</v>
      </c>
      <c r="D55" s="35" t="s">
        <v>2078</v>
      </c>
      <c r="E55" s="35">
        <v>541.66999999999996</v>
      </c>
      <c r="F55" s="34">
        <v>43629</v>
      </c>
    </row>
    <row r="56" spans="1:6" ht="15.75" x14ac:dyDescent="0.25">
      <c r="A56" s="35">
        <v>526712</v>
      </c>
      <c r="B56" s="35" t="s">
        <v>14</v>
      </c>
      <c r="C56" s="35" t="s">
        <v>1304</v>
      </c>
      <c r="D56" s="35" t="s">
        <v>2079</v>
      </c>
      <c r="E56" s="35">
        <v>68.64</v>
      </c>
      <c r="F56" s="34">
        <v>43629</v>
      </c>
    </row>
    <row r="57" spans="1:6" ht="15.75" x14ac:dyDescent="0.25">
      <c r="A57" s="35">
        <v>526712</v>
      </c>
      <c r="B57" s="35" t="s">
        <v>14</v>
      </c>
      <c r="C57" s="35" t="s">
        <v>2080</v>
      </c>
      <c r="D57" s="35" t="s">
        <v>2081</v>
      </c>
      <c r="E57" s="35">
        <v>180.84</v>
      </c>
      <c r="F57" s="34">
        <v>43629</v>
      </c>
    </row>
    <row r="58" spans="1:6" ht="15.75" x14ac:dyDescent="0.25">
      <c r="A58" s="35">
        <v>526712</v>
      </c>
      <c r="B58" s="35" t="s">
        <v>14</v>
      </c>
      <c r="C58" s="35" t="s">
        <v>2082</v>
      </c>
      <c r="D58" s="35" t="s">
        <v>2083</v>
      </c>
      <c r="E58" s="35">
        <v>46.62</v>
      </c>
      <c r="F58" s="34">
        <v>43629</v>
      </c>
    </row>
    <row r="59" spans="1:6" ht="15.75" x14ac:dyDescent="0.25">
      <c r="A59" s="35">
        <v>526742</v>
      </c>
      <c r="B59" s="35" t="s">
        <v>26</v>
      </c>
      <c r="C59" s="35" t="s">
        <v>1304</v>
      </c>
      <c r="D59" s="35" t="s">
        <v>2079</v>
      </c>
      <c r="E59" s="35">
        <v>18.899999999999999</v>
      </c>
      <c r="F59" s="34">
        <v>43629</v>
      </c>
    </row>
    <row r="60" spans="1:6" ht="15.75" x14ac:dyDescent="0.25">
      <c r="A60" s="35">
        <v>526742</v>
      </c>
      <c r="B60" s="35" t="s">
        <v>26</v>
      </c>
      <c r="C60" s="35" t="s">
        <v>2080</v>
      </c>
      <c r="D60" s="35" t="s">
        <v>2081</v>
      </c>
      <c r="E60" s="35">
        <v>18.899999999999999</v>
      </c>
      <c r="F60" s="34">
        <v>43629</v>
      </c>
    </row>
    <row r="61" spans="1:6" ht="15.75" x14ac:dyDescent="0.25">
      <c r="A61" s="35">
        <v>526742</v>
      </c>
      <c r="B61" s="35" t="s">
        <v>26</v>
      </c>
      <c r="C61" s="35" t="s">
        <v>2082</v>
      </c>
      <c r="D61" s="35" t="s">
        <v>2084</v>
      </c>
      <c r="E61" s="35">
        <v>18.899999999999999</v>
      </c>
      <c r="F61" s="34">
        <v>43629</v>
      </c>
    </row>
    <row r="62" spans="1:6" ht="15.75" x14ac:dyDescent="0.25">
      <c r="A62" s="35">
        <v>569311</v>
      </c>
      <c r="B62" s="35" t="s">
        <v>1933</v>
      </c>
      <c r="C62" s="35" t="s">
        <v>1934</v>
      </c>
      <c r="D62" s="35" t="s">
        <v>2085</v>
      </c>
      <c r="E62" s="35">
        <v>36176</v>
      </c>
      <c r="F62" s="34">
        <v>43633</v>
      </c>
    </row>
    <row r="63" spans="1:6" ht="15.75" x14ac:dyDescent="0.25">
      <c r="A63" s="35">
        <v>441720</v>
      </c>
      <c r="B63" s="35" t="s">
        <v>764</v>
      </c>
      <c r="C63" s="35" t="s">
        <v>764</v>
      </c>
      <c r="D63" s="35" t="s">
        <v>2086</v>
      </c>
      <c r="E63" s="35">
        <v>6520.21</v>
      </c>
      <c r="F63" s="34">
        <v>43636</v>
      </c>
    </row>
    <row r="64" spans="1:6" ht="15.75" x14ac:dyDescent="0.25">
      <c r="A64" s="35">
        <v>441720</v>
      </c>
      <c r="B64" s="35" t="s">
        <v>764</v>
      </c>
      <c r="C64" s="35" t="s">
        <v>764</v>
      </c>
      <c r="D64" s="35" t="s">
        <v>2086</v>
      </c>
      <c r="E64" s="35">
        <v>1295</v>
      </c>
      <c r="F64" s="34">
        <v>43636</v>
      </c>
    </row>
    <row r="65" spans="1:6" ht="15.75" x14ac:dyDescent="0.25">
      <c r="A65" s="35">
        <v>441720</v>
      </c>
      <c r="B65" s="35" t="s">
        <v>764</v>
      </c>
      <c r="C65" s="35" t="s">
        <v>764</v>
      </c>
      <c r="D65" s="35" t="s">
        <v>2086</v>
      </c>
      <c r="E65" s="35">
        <v>5929.99</v>
      </c>
      <c r="F65" s="34">
        <v>43636</v>
      </c>
    </row>
    <row r="66" spans="1:6" ht="15.75" x14ac:dyDescent="0.25">
      <c r="A66" s="35">
        <v>487110</v>
      </c>
      <c r="B66" s="35" t="s">
        <v>36</v>
      </c>
      <c r="C66" s="35" t="s">
        <v>36</v>
      </c>
      <c r="D66" s="35" t="s">
        <v>2086</v>
      </c>
      <c r="E66" s="35">
        <v>-5929.99</v>
      </c>
      <c r="F66" s="34">
        <v>43636</v>
      </c>
    </row>
    <row r="67" spans="1:6" ht="15.75" x14ac:dyDescent="0.25">
      <c r="A67" s="35">
        <v>487110</v>
      </c>
      <c r="B67" s="35" t="s">
        <v>36</v>
      </c>
      <c r="C67" s="35" t="s">
        <v>36</v>
      </c>
      <c r="D67" s="35" t="s">
        <v>2086</v>
      </c>
      <c r="E67" s="35">
        <v>-6520.21</v>
      </c>
      <c r="F67" s="34">
        <v>43636</v>
      </c>
    </row>
    <row r="68" spans="1:6" ht="15.75" x14ac:dyDescent="0.25">
      <c r="A68" s="35">
        <v>487110</v>
      </c>
      <c r="B68" s="35" t="s">
        <v>36</v>
      </c>
      <c r="C68" s="35" t="s">
        <v>36</v>
      </c>
      <c r="D68" s="35" t="s">
        <v>2086</v>
      </c>
      <c r="E68" s="35">
        <v>-1295</v>
      </c>
      <c r="F68" s="34">
        <v>43636</v>
      </c>
    </row>
    <row r="69" spans="1:6" ht="15.75" x14ac:dyDescent="0.25">
      <c r="A69" s="35">
        <v>441720</v>
      </c>
      <c r="B69" s="35" t="s">
        <v>764</v>
      </c>
      <c r="C69" s="35" t="s">
        <v>764</v>
      </c>
      <c r="D69" s="35" t="s">
        <v>2087</v>
      </c>
      <c r="E69" s="35">
        <v>617.94000000000005</v>
      </c>
      <c r="F69" s="34">
        <v>43637</v>
      </c>
    </row>
    <row r="70" spans="1:6" ht="15.75" x14ac:dyDescent="0.25">
      <c r="A70" s="35">
        <v>441720</v>
      </c>
      <c r="B70" s="35" t="s">
        <v>764</v>
      </c>
      <c r="C70" s="35" t="s">
        <v>764</v>
      </c>
      <c r="D70" s="35" t="s">
        <v>2087</v>
      </c>
      <c r="E70" s="35">
        <v>61.84</v>
      </c>
      <c r="F70" s="34">
        <v>43637</v>
      </c>
    </row>
    <row r="71" spans="1:6" ht="15.75" x14ac:dyDescent="0.25">
      <c r="A71" s="35">
        <v>441720</v>
      </c>
      <c r="B71" s="35" t="s">
        <v>764</v>
      </c>
      <c r="C71" s="35" t="s">
        <v>764</v>
      </c>
      <c r="D71" s="35" t="s">
        <v>2087</v>
      </c>
      <c r="E71" s="35">
        <v>73.2</v>
      </c>
      <c r="F71" s="34">
        <v>43637</v>
      </c>
    </row>
    <row r="72" spans="1:6" ht="15.75" x14ac:dyDescent="0.25">
      <c r="A72" s="35">
        <v>441720</v>
      </c>
      <c r="B72" s="35" t="s">
        <v>764</v>
      </c>
      <c r="C72" s="35" t="s">
        <v>764</v>
      </c>
      <c r="D72" s="35" t="s">
        <v>2087</v>
      </c>
      <c r="E72" s="35">
        <v>550.11</v>
      </c>
      <c r="F72" s="34">
        <v>43637</v>
      </c>
    </row>
    <row r="73" spans="1:6" ht="15.75" x14ac:dyDescent="0.25">
      <c r="A73" s="35">
        <v>487110</v>
      </c>
      <c r="B73" s="35" t="s">
        <v>36</v>
      </c>
      <c r="C73" s="35" t="s">
        <v>36</v>
      </c>
      <c r="D73" s="35" t="s">
        <v>2087</v>
      </c>
      <c r="E73" s="35">
        <v>-61.84</v>
      </c>
      <c r="F73" s="34">
        <v>43637</v>
      </c>
    </row>
    <row r="74" spans="1:6" ht="15.75" x14ac:dyDescent="0.25">
      <c r="A74" s="35">
        <v>487110</v>
      </c>
      <c r="B74" s="35" t="s">
        <v>36</v>
      </c>
      <c r="C74" s="35" t="s">
        <v>36</v>
      </c>
      <c r="D74" s="35" t="s">
        <v>2087</v>
      </c>
      <c r="E74" s="35">
        <v>-550.11</v>
      </c>
      <c r="F74" s="34">
        <v>43637</v>
      </c>
    </row>
    <row r="75" spans="1:6" ht="15.75" x14ac:dyDescent="0.25">
      <c r="A75" s="35">
        <v>487110</v>
      </c>
      <c r="B75" s="35" t="s">
        <v>36</v>
      </c>
      <c r="C75" s="35" t="s">
        <v>36</v>
      </c>
      <c r="D75" s="35" t="s">
        <v>2087</v>
      </c>
      <c r="E75" s="35">
        <v>-617.94000000000005</v>
      </c>
      <c r="F75" s="34">
        <v>43637</v>
      </c>
    </row>
    <row r="76" spans="1:6" ht="15.75" x14ac:dyDescent="0.25">
      <c r="A76" s="35">
        <v>487110</v>
      </c>
      <c r="B76" s="35" t="s">
        <v>36</v>
      </c>
      <c r="C76" s="35" t="s">
        <v>36</v>
      </c>
      <c r="D76" s="35" t="s">
        <v>2087</v>
      </c>
      <c r="E76" s="35">
        <v>-73.2</v>
      </c>
      <c r="F76" s="34">
        <v>43637</v>
      </c>
    </row>
    <row r="77" spans="1:6" ht="15.75" x14ac:dyDescent="0.25">
      <c r="A77" s="35">
        <v>487110</v>
      </c>
      <c r="B77" s="35" t="s">
        <v>36</v>
      </c>
      <c r="C77" s="35" t="s">
        <v>2088</v>
      </c>
      <c r="D77" s="35" t="s">
        <v>2089</v>
      </c>
      <c r="E77" s="35">
        <v>3.16</v>
      </c>
      <c r="F77" s="34">
        <v>43641</v>
      </c>
    </row>
    <row r="78" spans="1:6" ht="15.75" x14ac:dyDescent="0.25">
      <c r="A78" s="35">
        <v>569311</v>
      </c>
      <c r="B78" s="35" t="s">
        <v>1933</v>
      </c>
      <c r="C78" s="35" t="s">
        <v>2090</v>
      </c>
      <c r="D78" s="35" t="s">
        <v>2091</v>
      </c>
      <c r="E78" s="35">
        <v>-36176</v>
      </c>
      <c r="F78" s="34">
        <v>43642</v>
      </c>
    </row>
    <row r="79" spans="1:6" ht="15.75" x14ac:dyDescent="0.25">
      <c r="A79" s="35">
        <v>511120</v>
      </c>
      <c r="B79" s="35" t="s">
        <v>6</v>
      </c>
      <c r="C79" s="35" t="s">
        <v>7</v>
      </c>
      <c r="D79" s="35" t="s">
        <v>2092</v>
      </c>
      <c r="E79" s="35">
        <v>4416.6400000000003</v>
      </c>
      <c r="F79" s="34">
        <v>43644</v>
      </c>
    </row>
    <row r="80" spans="1:6" ht="15.75" x14ac:dyDescent="0.25">
      <c r="A80" s="35">
        <v>515120</v>
      </c>
      <c r="B80" s="35" t="s">
        <v>9</v>
      </c>
      <c r="C80" s="35" t="s">
        <v>7</v>
      </c>
      <c r="D80" s="35" t="s">
        <v>2092</v>
      </c>
      <c r="E80" s="35">
        <v>269.33999999999997</v>
      </c>
      <c r="F80" s="34">
        <v>43644</v>
      </c>
    </row>
    <row r="81" spans="1:6" ht="15.75" x14ac:dyDescent="0.25">
      <c r="A81" s="35">
        <v>515130</v>
      </c>
      <c r="B81" s="35" t="s">
        <v>10</v>
      </c>
      <c r="C81" s="35" t="s">
        <v>7</v>
      </c>
      <c r="D81" s="35" t="s">
        <v>2092</v>
      </c>
      <c r="E81" s="35">
        <v>62.99</v>
      </c>
      <c r="F81" s="34">
        <v>43644</v>
      </c>
    </row>
    <row r="82" spans="1:6" ht="15.75" x14ac:dyDescent="0.25">
      <c r="A82" s="35">
        <v>515410</v>
      </c>
      <c r="B82" s="35" t="s">
        <v>11</v>
      </c>
      <c r="C82" s="35" t="s">
        <v>7</v>
      </c>
      <c r="D82" s="35" t="s">
        <v>2092</v>
      </c>
      <c r="E82" s="35">
        <v>302.10000000000002</v>
      </c>
      <c r="F82" s="34">
        <v>43644</v>
      </c>
    </row>
    <row r="83" spans="1:6" ht="15.75" x14ac:dyDescent="0.25">
      <c r="A83" s="35">
        <v>515420</v>
      </c>
      <c r="B83" s="35" t="s">
        <v>12</v>
      </c>
      <c r="C83" s="35" t="s">
        <v>7</v>
      </c>
      <c r="D83" s="35" t="s">
        <v>2092</v>
      </c>
      <c r="E83" s="35">
        <v>283.11</v>
      </c>
      <c r="F83" s="34">
        <v>43644</v>
      </c>
    </row>
    <row r="84" spans="1:6" ht="15.75" x14ac:dyDescent="0.25">
      <c r="A84" s="35">
        <v>515530</v>
      </c>
      <c r="B84" s="35" t="s">
        <v>13</v>
      </c>
      <c r="C84" s="35" t="s">
        <v>7</v>
      </c>
      <c r="D84" s="35" t="s">
        <v>2092</v>
      </c>
      <c r="E84" s="35">
        <v>348.28</v>
      </c>
      <c r="F84" s="34">
        <v>43644</v>
      </c>
    </row>
    <row r="85" spans="1:6" ht="15.75" x14ac:dyDescent="0.25">
      <c r="A85" s="35">
        <v>487110</v>
      </c>
      <c r="B85" s="35" t="s">
        <v>36</v>
      </c>
      <c r="C85" s="35" t="s">
        <v>2093</v>
      </c>
      <c r="D85" s="35" t="s">
        <v>2094</v>
      </c>
      <c r="E85" s="35">
        <v>8482.94</v>
      </c>
      <c r="F85" s="34">
        <v>43644</v>
      </c>
    </row>
    <row r="86" spans="1:6" ht="15.75" x14ac:dyDescent="0.25">
      <c r="A86" s="35">
        <v>558982</v>
      </c>
      <c r="B86" s="35" t="s">
        <v>819</v>
      </c>
      <c r="C86" s="35" t="s">
        <v>2095</v>
      </c>
      <c r="D86" s="35" t="s">
        <v>2096</v>
      </c>
      <c r="E86" s="35">
        <v>658.84</v>
      </c>
      <c r="F86" s="34">
        <v>43646</v>
      </c>
    </row>
    <row r="87" spans="1:6" ht="15.75" x14ac:dyDescent="0.25">
      <c r="A87" s="35">
        <v>558982</v>
      </c>
      <c r="B87" s="35" t="s">
        <v>819</v>
      </c>
      <c r="C87" s="35" t="s">
        <v>2095</v>
      </c>
      <c r="D87" s="35" t="s">
        <v>2096</v>
      </c>
      <c r="E87" s="35">
        <v>1655.31</v>
      </c>
      <c r="F87" s="34">
        <v>43646</v>
      </c>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CF345-35D3-4285-8D03-B29410CAEEAF}">
  <dimension ref="A1:F41"/>
  <sheetViews>
    <sheetView workbookViewId="0">
      <selection activeCell="K32" sqref="A1:XFD1048576"/>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558921</v>
      </c>
      <c r="B2" s="35" t="s">
        <v>262</v>
      </c>
      <c r="C2" s="35" t="s">
        <v>1158</v>
      </c>
      <c r="D2" s="35" t="s">
        <v>1936</v>
      </c>
      <c r="E2" s="35">
        <v>27.04</v>
      </c>
      <c r="F2" s="34">
        <v>43586</v>
      </c>
    </row>
    <row r="3" spans="1:6" ht="15.75" x14ac:dyDescent="0.25">
      <c r="A3" s="35">
        <v>558921</v>
      </c>
      <c r="B3" s="35" t="s">
        <v>262</v>
      </c>
      <c r="C3" s="35" t="s">
        <v>441</v>
      </c>
      <c r="D3" s="35" t="s">
        <v>1937</v>
      </c>
      <c r="E3" s="35">
        <v>990</v>
      </c>
      <c r="F3" s="34">
        <v>43586</v>
      </c>
    </row>
    <row r="4" spans="1:6" ht="15.75" x14ac:dyDescent="0.25">
      <c r="A4" s="35">
        <v>558921</v>
      </c>
      <c r="B4" s="35" t="s">
        <v>262</v>
      </c>
      <c r="C4" s="35" t="s">
        <v>358</v>
      </c>
      <c r="D4" s="35" t="s">
        <v>1938</v>
      </c>
      <c r="E4" s="35">
        <v>990</v>
      </c>
      <c r="F4" s="34">
        <v>43592</v>
      </c>
    </row>
    <row r="5" spans="1:6" ht="15.75" x14ac:dyDescent="0.25">
      <c r="A5" s="35">
        <v>558921</v>
      </c>
      <c r="B5" s="35" t="s">
        <v>262</v>
      </c>
      <c r="C5" s="35" t="s">
        <v>358</v>
      </c>
      <c r="D5" s="35" t="s">
        <v>1939</v>
      </c>
      <c r="E5" s="35">
        <v>2807</v>
      </c>
      <c r="F5" s="34">
        <v>43592</v>
      </c>
    </row>
    <row r="6" spans="1:6" ht="15.75" x14ac:dyDescent="0.25">
      <c r="A6" s="35">
        <v>587890</v>
      </c>
      <c r="B6" s="35" t="s">
        <v>32</v>
      </c>
      <c r="C6" s="35" t="s">
        <v>1940</v>
      </c>
      <c r="D6" s="35" t="s">
        <v>1941</v>
      </c>
      <c r="E6" s="35">
        <v>-928.5</v>
      </c>
      <c r="F6" s="34">
        <v>43593</v>
      </c>
    </row>
    <row r="7" spans="1:6" ht="15.75" x14ac:dyDescent="0.25">
      <c r="A7" s="35">
        <v>558979</v>
      </c>
      <c r="B7" s="35" t="s">
        <v>150</v>
      </c>
      <c r="C7" s="35" t="s">
        <v>1216</v>
      </c>
      <c r="D7" s="35" t="s">
        <v>1950</v>
      </c>
      <c r="E7" s="35">
        <v>125</v>
      </c>
      <c r="F7" s="34">
        <v>43601</v>
      </c>
    </row>
    <row r="8" spans="1:6" ht="15.75" x14ac:dyDescent="0.25">
      <c r="A8" s="35">
        <v>558979</v>
      </c>
      <c r="B8" s="35" t="s">
        <v>150</v>
      </c>
      <c r="C8" s="35" t="s">
        <v>1519</v>
      </c>
      <c r="D8" s="35" t="s">
        <v>1946</v>
      </c>
      <c r="E8" s="35">
        <v>125</v>
      </c>
      <c r="F8" s="34">
        <v>43601</v>
      </c>
    </row>
    <row r="9" spans="1:6" ht="15.75" x14ac:dyDescent="0.25">
      <c r="A9" s="35">
        <v>558979</v>
      </c>
      <c r="B9" s="35" t="s">
        <v>150</v>
      </c>
      <c r="C9" s="35" t="s">
        <v>1536</v>
      </c>
      <c r="D9" s="35" t="s">
        <v>1944</v>
      </c>
      <c r="E9" s="35">
        <v>125</v>
      </c>
      <c r="F9" s="34">
        <v>43601</v>
      </c>
    </row>
    <row r="10" spans="1:6" ht="15.75" x14ac:dyDescent="0.25">
      <c r="A10" s="35">
        <v>558979</v>
      </c>
      <c r="B10" s="35" t="s">
        <v>150</v>
      </c>
      <c r="C10" s="35" t="s">
        <v>1062</v>
      </c>
      <c r="D10" s="35" t="s">
        <v>1961</v>
      </c>
      <c r="E10" s="35">
        <v>200</v>
      </c>
      <c r="F10" s="34">
        <v>43601</v>
      </c>
    </row>
    <row r="11" spans="1:6" ht="15.75" x14ac:dyDescent="0.25">
      <c r="A11" s="35">
        <v>558979</v>
      </c>
      <c r="B11" s="35" t="s">
        <v>150</v>
      </c>
      <c r="C11" s="35" t="s">
        <v>1001</v>
      </c>
      <c r="D11" s="35" t="s">
        <v>1962</v>
      </c>
      <c r="E11" s="35">
        <v>200</v>
      </c>
      <c r="F11" s="34">
        <v>43601</v>
      </c>
    </row>
    <row r="12" spans="1:6" ht="15.75" x14ac:dyDescent="0.25">
      <c r="A12" s="35">
        <v>558979</v>
      </c>
      <c r="B12" s="35" t="s">
        <v>150</v>
      </c>
      <c r="C12" s="35" t="s">
        <v>1517</v>
      </c>
      <c r="D12" s="35" t="s">
        <v>1949</v>
      </c>
      <c r="E12" s="35">
        <v>125</v>
      </c>
      <c r="F12" s="34">
        <v>43601</v>
      </c>
    </row>
    <row r="13" spans="1:6" ht="15.75" x14ac:dyDescent="0.25">
      <c r="A13" s="35">
        <v>558979</v>
      </c>
      <c r="B13" s="35" t="s">
        <v>150</v>
      </c>
      <c r="C13" s="35" t="s">
        <v>1521</v>
      </c>
      <c r="D13" s="35" t="s">
        <v>1945</v>
      </c>
      <c r="E13" s="35">
        <v>125</v>
      </c>
      <c r="F13" s="34">
        <v>43601</v>
      </c>
    </row>
    <row r="14" spans="1:6" ht="15.75" x14ac:dyDescent="0.25">
      <c r="A14" s="35">
        <v>558979</v>
      </c>
      <c r="B14" s="35" t="s">
        <v>150</v>
      </c>
      <c r="C14" s="35" t="s">
        <v>1496</v>
      </c>
      <c r="D14" s="35" t="s">
        <v>1948</v>
      </c>
      <c r="E14" s="35">
        <v>125</v>
      </c>
      <c r="F14" s="34">
        <v>43601</v>
      </c>
    </row>
    <row r="15" spans="1:6" ht="15.75" x14ac:dyDescent="0.25">
      <c r="A15" s="35">
        <v>558979</v>
      </c>
      <c r="B15" s="35" t="s">
        <v>150</v>
      </c>
      <c r="C15" s="35" t="s">
        <v>927</v>
      </c>
      <c r="D15" s="35" t="s">
        <v>1960</v>
      </c>
      <c r="E15" s="35">
        <v>200</v>
      </c>
      <c r="F15" s="34">
        <v>43601</v>
      </c>
    </row>
    <row r="16" spans="1:6" ht="15.75" x14ac:dyDescent="0.25">
      <c r="A16" s="35">
        <v>558979</v>
      </c>
      <c r="B16" s="35" t="s">
        <v>150</v>
      </c>
      <c r="C16" s="35" t="s">
        <v>1538</v>
      </c>
      <c r="D16" s="35" t="s">
        <v>1951</v>
      </c>
      <c r="E16" s="35">
        <v>125</v>
      </c>
      <c r="F16" s="34">
        <v>43601</v>
      </c>
    </row>
    <row r="17" spans="1:6" ht="15.75" x14ac:dyDescent="0.25">
      <c r="A17" s="35">
        <v>558979</v>
      </c>
      <c r="B17" s="35" t="s">
        <v>150</v>
      </c>
      <c r="C17" s="35" t="s">
        <v>1953</v>
      </c>
      <c r="D17" s="35" t="s">
        <v>1954</v>
      </c>
      <c r="E17" s="35">
        <v>125</v>
      </c>
      <c r="F17" s="34">
        <v>43601</v>
      </c>
    </row>
    <row r="18" spans="1:6" ht="15.75" x14ac:dyDescent="0.25">
      <c r="A18" s="35">
        <v>558979</v>
      </c>
      <c r="B18" s="35" t="s">
        <v>150</v>
      </c>
      <c r="C18" s="35" t="s">
        <v>1527</v>
      </c>
      <c r="D18" s="35" t="s">
        <v>1956</v>
      </c>
      <c r="E18" s="35">
        <v>125</v>
      </c>
      <c r="F18" s="34">
        <v>43601</v>
      </c>
    </row>
    <row r="19" spans="1:6" ht="15.75" x14ac:dyDescent="0.25">
      <c r="A19" s="35">
        <v>558979</v>
      </c>
      <c r="B19" s="35" t="s">
        <v>150</v>
      </c>
      <c r="C19" s="35" t="s">
        <v>21</v>
      </c>
      <c r="D19" s="35" t="s">
        <v>1955</v>
      </c>
      <c r="E19" s="35">
        <v>125</v>
      </c>
      <c r="F19" s="34">
        <v>43601</v>
      </c>
    </row>
    <row r="20" spans="1:6" ht="15.75" x14ac:dyDescent="0.25">
      <c r="A20" s="35">
        <v>558979</v>
      </c>
      <c r="B20" s="35" t="s">
        <v>150</v>
      </c>
      <c r="C20" s="35" t="s">
        <v>1415</v>
      </c>
      <c r="D20" s="35" t="s">
        <v>1958</v>
      </c>
      <c r="E20" s="35">
        <v>200</v>
      </c>
      <c r="F20" s="34">
        <v>43601</v>
      </c>
    </row>
    <row r="21" spans="1:6" ht="15.75" x14ac:dyDescent="0.25">
      <c r="A21" s="35">
        <v>558979</v>
      </c>
      <c r="B21" s="35" t="s">
        <v>150</v>
      </c>
      <c r="C21" s="35" t="s">
        <v>1525</v>
      </c>
      <c r="D21" s="35" t="s">
        <v>1947</v>
      </c>
      <c r="E21" s="35">
        <v>125</v>
      </c>
      <c r="F21" s="34">
        <v>43601</v>
      </c>
    </row>
    <row r="22" spans="1:6" ht="15.75" x14ac:dyDescent="0.25">
      <c r="A22" s="35">
        <v>558979</v>
      </c>
      <c r="B22" s="35" t="s">
        <v>150</v>
      </c>
      <c r="C22" s="35" t="s">
        <v>1531</v>
      </c>
      <c r="D22" s="35" t="s">
        <v>1942</v>
      </c>
      <c r="E22" s="35">
        <v>125</v>
      </c>
      <c r="F22" s="34">
        <v>43601</v>
      </c>
    </row>
    <row r="23" spans="1:6" ht="15.75" x14ac:dyDescent="0.25">
      <c r="A23" s="35">
        <v>558979</v>
      </c>
      <c r="B23" s="35" t="s">
        <v>150</v>
      </c>
      <c r="C23" s="35" t="s">
        <v>1529</v>
      </c>
      <c r="D23" s="35" t="s">
        <v>1957</v>
      </c>
      <c r="E23" s="35">
        <v>125</v>
      </c>
      <c r="F23" s="34">
        <v>43601</v>
      </c>
    </row>
    <row r="24" spans="1:6" ht="15.75" x14ac:dyDescent="0.25">
      <c r="A24" s="35">
        <v>558979</v>
      </c>
      <c r="B24" s="35" t="s">
        <v>150</v>
      </c>
      <c r="C24" s="35" t="s">
        <v>1540</v>
      </c>
      <c r="D24" s="35" t="s">
        <v>1943</v>
      </c>
      <c r="E24" s="35">
        <v>125</v>
      </c>
      <c r="F24" s="34">
        <v>43601</v>
      </c>
    </row>
    <row r="25" spans="1:6" ht="15.75" x14ac:dyDescent="0.25">
      <c r="A25" s="35">
        <v>558979</v>
      </c>
      <c r="B25" s="35" t="s">
        <v>150</v>
      </c>
      <c r="C25" s="35" t="s">
        <v>789</v>
      </c>
      <c r="D25" s="35" t="s">
        <v>1967</v>
      </c>
      <c r="E25" s="35">
        <v>333.34</v>
      </c>
      <c r="F25" s="34">
        <v>43601</v>
      </c>
    </row>
    <row r="26" spans="1:6" ht="15.75" x14ac:dyDescent="0.25">
      <c r="A26" s="35">
        <v>558979</v>
      </c>
      <c r="B26" s="35" t="s">
        <v>150</v>
      </c>
      <c r="C26" s="35" t="s">
        <v>1542</v>
      </c>
      <c r="D26" s="35" t="s">
        <v>1952</v>
      </c>
      <c r="E26" s="35">
        <v>125</v>
      </c>
      <c r="F26" s="34">
        <v>43601</v>
      </c>
    </row>
    <row r="27" spans="1:6" ht="15.75" x14ac:dyDescent="0.25">
      <c r="A27" s="35">
        <v>558979</v>
      </c>
      <c r="B27" s="35" t="s">
        <v>150</v>
      </c>
      <c r="C27" s="35" t="s">
        <v>785</v>
      </c>
      <c r="D27" s="35" t="s">
        <v>1965</v>
      </c>
      <c r="E27" s="35">
        <v>200</v>
      </c>
      <c r="F27" s="34">
        <v>43601</v>
      </c>
    </row>
    <row r="28" spans="1:6" ht="15.75" x14ac:dyDescent="0.25">
      <c r="A28" s="35">
        <v>558979</v>
      </c>
      <c r="B28" s="35" t="s">
        <v>150</v>
      </c>
      <c r="C28" s="35" t="s">
        <v>1029</v>
      </c>
      <c r="D28" s="35" t="s">
        <v>1966</v>
      </c>
      <c r="E28" s="35">
        <v>225</v>
      </c>
      <c r="F28" s="34">
        <v>43601</v>
      </c>
    </row>
    <row r="29" spans="1:6" ht="15.75" x14ac:dyDescent="0.25">
      <c r="A29" s="35">
        <v>558979</v>
      </c>
      <c r="B29" s="35" t="s">
        <v>150</v>
      </c>
      <c r="C29" s="35" t="s">
        <v>1431</v>
      </c>
      <c r="D29" s="35" t="s">
        <v>1959</v>
      </c>
      <c r="E29" s="35">
        <v>200</v>
      </c>
      <c r="F29" s="34">
        <v>43601</v>
      </c>
    </row>
    <row r="30" spans="1:6" ht="15.75" x14ac:dyDescent="0.25">
      <c r="A30" s="35">
        <v>558979</v>
      </c>
      <c r="B30" s="35" t="s">
        <v>150</v>
      </c>
      <c r="C30" s="35" t="s">
        <v>1410</v>
      </c>
      <c r="D30" s="35" t="s">
        <v>1964</v>
      </c>
      <c r="E30" s="35">
        <v>200</v>
      </c>
      <c r="F30" s="34">
        <v>43601</v>
      </c>
    </row>
    <row r="31" spans="1:6" ht="15.75" x14ac:dyDescent="0.25">
      <c r="A31" s="35">
        <v>558979</v>
      </c>
      <c r="B31" s="35" t="s">
        <v>150</v>
      </c>
      <c r="C31" s="35" t="s">
        <v>309</v>
      </c>
      <c r="D31" s="35" t="s">
        <v>1968</v>
      </c>
      <c r="E31" s="35">
        <v>541.66999999999996</v>
      </c>
      <c r="F31" s="34">
        <v>43601</v>
      </c>
    </row>
    <row r="32" spans="1:6" ht="15.75" x14ac:dyDescent="0.25">
      <c r="A32" s="35">
        <v>558979</v>
      </c>
      <c r="B32" s="35" t="s">
        <v>150</v>
      </c>
      <c r="C32" s="35" t="s">
        <v>1830</v>
      </c>
      <c r="D32" s="35" t="s">
        <v>1963</v>
      </c>
      <c r="E32" s="35">
        <v>200</v>
      </c>
      <c r="F32" s="34">
        <v>43601</v>
      </c>
    </row>
    <row r="33" spans="1:6" ht="15.75" x14ac:dyDescent="0.25">
      <c r="A33" s="35">
        <v>527120</v>
      </c>
      <c r="B33" s="35" t="s">
        <v>143</v>
      </c>
      <c r="C33" s="35" t="s">
        <v>144</v>
      </c>
      <c r="D33" s="35" t="s">
        <v>2020</v>
      </c>
      <c r="E33" s="35">
        <v>14.5</v>
      </c>
      <c r="F33" s="34">
        <v>43609</v>
      </c>
    </row>
    <row r="34" spans="1:6" ht="15.75" x14ac:dyDescent="0.25">
      <c r="A34" s="35">
        <v>527120</v>
      </c>
      <c r="B34" s="35" t="s">
        <v>143</v>
      </c>
      <c r="C34" s="35" t="s">
        <v>144</v>
      </c>
      <c r="D34" s="35" t="s">
        <v>2020</v>
      </c>
      <c r="E34" s="35">
        <v>14.5</v>
      </c>
      <c r="F34" s="34">
        <v>43609</v>
      </c>
    </row>
    <row r="35" spans="1:6" ht="15.75" x14ac:dyDescent="0.25">
      <c r="A35" s="35">
        <v>511120</v>
      </c>
      <c r="B35" s="35" t="s">
        <v>6</v>
      </c>
      <c r="C35" s="35" t="s">
        <v>7</v>
      </c>
      <c r="D35" s="35" t="s">
        <v>2021</v>
      </c>
      <c r="E35" s="35">
        <v>4416.6400000000003</v>
      </c>
      <c r="F35" s="34">
        <v>43616</v>
      </c>
    </row>
    <row r="36" spans="1:6" ht="15.75" x14ac:dyDescent="0.25">
      <c r="A36" s="35">
        <v>515120</v>
      </c>
      <c r="B36" s="35" t="s">
        <v>9</v>
      </c>
      <c r="C36" s="35" t="s">
        <v>7</v>
      </c>
      <c r="D36" s="35" t="s">
        <v>2021</v>
      </c>
      <c r="E36" s="35">
        <v>269.35000000000002</v>
      </c>
      <c r="F36" s="34">
        <v>43616</v>
      </c>
    </row>
    <row r="37" spans="1:6" ht="15.75" x14ac:dyDescent="0.25">
      <c r="A37" s="35">
        <v>515130</v>
      </c>
      <c r="B37" s="35" t="s">
        <v>10</v>
      </c>
      <c r="C37" s="35" t="s">
        <v>7</v>
      </c>
      <c r="D37" s="35" t="s">
        <v>2021</v>
      </c>
      <c r="E37" s="35">
        <v>63</v>
      </c>
      <c r="F37" s="34">
        <v>43616</v>
      </c>
    </row>
    <row r="38" spans="1:6" ht="15.75" x14ac:dyDescent="0.25">
      <c r="A38" s="35">
        <v>515410</v>
      </c>
      <c r="B38" s="35" t="s">
        <v>11</v>
      </c>
      <c r="C38" s="35" t="s">
        <v>7</v>
      </c>
      <c r="D38" s="35" t="s">
        <v>2021</v>
      </c>
      <c r="E38" s="35">
        <v>302.10000000000002</v>
      </c>
      <c r="F38" s="34">
        <v>43616</v>
      </c>
    </row>
    <row r="39" spans="1:6" ht="15.75" x14ac:dyDescent="0.25">
      <c r="A39" s="35">
        <v>515420</v>
      </c>
      <c r="B39" s="35" t="s">
        <v>12</v>
      </c>
      <c r="C39" s="35" t="s">
        <v>7</v>
      </c>
      <c r="D39" s="35" t="s">
        <v>2021</v>
      </c>
      <c r="E39" s="35">
        <v>283.11</v>
      </c>
      <c r="F39" s="34">
        <v>43616</v>
      </c>
    </row>
    <row r="40" spans="1:6" ht="15.75" x14ac:dyDescent="0.25">
      <c r="A40" s="35">
        <v>515530</v>
      </c>
      <c r="B40" s="35" t="s">
        <v>13</v>
      </c>
      <c r="C40" s="35" t="s">
        <v>7</v>
      </c>
      <c r="D40" s="35" t="s">
        <v>2021</v>
      </c>
      <c r="E40" s="35">
        <v>348.28</v>
      </c>
      <c r="F40" s="34">
        <v>43616</v>
      </c>
    </row>
    <row r="41" spans="1:6" ht="15.75" x14ac:dyDescent="0.25">
      <c r="A41" s="35">
        <v>558921</v>
      </c>
      <c r="B41" s="35" t="s">
        <v>262</v>
      </c>
      <c r="C41" s="35" t="s">
        <v>924</v>
      </c>
      <c r="D41" s="35" t="s">
        <v>2022</v>
      </c>
      <c r="E41" s="35">
        <v>48.58</v>
      </c>
      <c r="F41" s="34">
        <v>43616</v>
      </c>
    </row>
  </sheetData>
  <pageMargins left="0.7" right="0.7" top="0.75" bottom="0.75" header="0.3" footer="0.3"/>
  <pageSetup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21A0B-D839-4575-ACEF-80F7A7C3E90E}">
  <dimension ref="A1:F85"/>
  <sheetViews>
    <sheetView workbookViewId="0">
      <selection activeCell="B11" sqref="B11"/>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526712</v>
      </c>
      <c r="B2" s="35" t="s">
        <v>14</v>
      </c>
      <c r="C2" s="35" t="s">
        <v>961</v>
      </c>
      <c r="D2" s="35" t="s">
        <v>1863</v>
      </c>
      <c r="E2" s="35">
        <v>34.659999999999997</v>
      </c>
      <c r="F2" s="34">
        <v>43556</v>
      </c>
    </row>
    <row r="3" spans="1:6" ht="15.75" x14ac:dyDescent="0.25">
      <c r="A3" s="35">
        <v>526712</v>
      </c>
      <c r="B3" s="35" t="s">
        <v>14</v>
      </c>
      <c r="C3" s="35" t="s">
        <v>789</v>
      </c>
      <c r="D3" s="35" t="s">
        <v>1864</v>
      </c>
      <c r="E3" s="35">
        <v>55.44</v>
      </c>
      <c r="F3" s="34">
        <v>43556</v>
      </c>
    </row>
    <row r="4" spans="1:6" ht="15.75" x14ac:dyDescent="0.25">
      <c r="A4" s="35">
        <v>526712</v>
      </c>
      <c r="B4" s="35" t="s">
        <v>14</v>
      </c>
      <c r="C4" s="35" t="s">
        <v>1540</v>
      </c>
      <c r="D4" s="35" t="s">
        <v>1865</v>
      </c>
      <c r="E4" s="35">
        <v>56.1</v>
      </c>
      <c r="F4" s="34">
        <v>43556</v>
      </c>
    </row>
    <row r="5" spans="1:6" ht="15.75" x14ac:dyDescent="0.25">
      <c r="A5" s="35">
        <v>526712</v>
      </c>
      <c r="B5" s="35" t="s">
        <v>14</v>
      </c>
      <c r="C5" s="35" t="s">
        <v>1690</v>
      </c>
      <c r="D5" s="35" t="s">
        <v>1866</v>
      </c>
      <c r="E5" s="35">
        <v>99</v>
      </c>
      <c r="F5" s="34">
        <v>43556</v>
      </c>
    </row>
    <row r="6" spans="1:6" ht="15.75" x14ac:dyDescent="0.25">
      <c r="A6" s="35">
        <v>526712</v>
      </c>
      <c r="B6" s="35" t="s">
        <v>14</v>
      </c>
      <c r="C6" s="35" t="s">
        <v>413</v>
      </c>
      <c r="D6" s="35" t="s">
        <v>1867</v>
      </c>
      <c r="E6" s="35">
        <v>163.02000000000001</v>
      </c>
      <c r="F6" s="34">
        <v>43556</v>
      </c>
    </row>
    <row r="7" spans="1:6" ht="15.75" x14ac:dyDescent="0.25">
      <c r="A7" s="35">
        <v>526712</v>
      </c>
      <c r="B7" s="35" t="s">
        <v>14</v>
      </c>
      <c r="C7" s="35" t="s">
        <v>1830</v>
      </c>
      <c r="D7" s="35" t="s">
        <v>1868</v>
      </c>
      <c r="E7" s="35">
        <v>163.02000000000001</v>
      </c>
      <c r="F7" s="34">
        <v>43556</v>
      </c>
    </row>
    <row r="8" spans="1:6" ht="15.75" x14ac:dyDescent="0.25">
      <c r="A8" s="35">
        <v>526712</v>
      </c>
      <c r="B8" s="35" t="s">
        <v>14</v>
      </c>
      <c r="C8" s="35" t="s">
        <v>1431</v>
      </c>
      <c r="D8" s="35" t="s">
        <v>1869</v>
      </c>
      <c r="E8" s="35">
        <v>163.68</v>
      </c>
      <c r="F8" s="34">
        <v>43556</v>
      </c>
    </row>
    <row r="9" spans="1:6" ht="15.75" x14ac:dyDescent="0.25">
      <c r="A9" s="35">
        <v>526712</v>
      </c>
      <c r="B9" s="35" t="s">
        <v>14</v>
      </c>
      <c r="C9" s="35" t="s">
        <v>942</v>
      </c>
      <c r="D9" s="35" t="s">
        <v>1870</v>
      </c>
      <c r="E9" s="35">
        <v>163.68</v>
      </c>
      <c r="F9" s="34">
        <v>43556</v>
      </c>
    </row>
    <row r="10" spans="1:6" ht="15.75" x14ac:dyDescent="0.25">
      <c r="A10" s="35">
        <v>526712</v>
      </c>
      <c r="B10" s="35" t="s">
        <v>14</v>
      </c>
      <c r="C10" s="35" t="s">
        <v>1486</v>
      </c>
      <c r="D10" s="35" t="s">
        <v>1871</v>
      </c>
      <c r="E10" s="35">
        <v>219.46</v>
      </c>
      <c r="F10" s="34">
        <v>43556</v>
      </c>
    </row>
    <row r="11" spans="1:6" ht="15.75" x14ac:dyDescent="0.25">
      <c r="A11" s="35">
        <v>526712</v>
      </c>
      <c r="B11" s="35" t="s">
        <v>14</v>
      </c>
      <c r="C11" s="35" t="s">
        <v>1542</v>
      </c>
      <c r="D11" s="35" t="s">
        <v>1872</v>
      </c>
      <c r="E11" s="35">
        <v>249.48</v>
      </c>
      <c r="F11" s="34">
        <v>43556</v>
      </c>
    </row>
    <row r="12" spans="1:6" ht="15.75" x14ac:dyDescent="0.25">
      <c r="A12" s="35">
        <v>587890</v>
      </c>
      <c r="B12" s="35" t="s">
        <v>32</v>
      </c>
      <c r="C12" s="35" t="s">
        <v>462</v>
      </c>
      <c r="D12" s="35" t="s">
        <v>1873</v>
      </c>
      <c r="E12" s="35">
        <v>650</v>
      </c>
      <c r="F12" s="34">
        <v>43556</v>
      </c>
    </row>
    <row r="13" spans="1:6" ht="15.75" x14ac:dyDescent="0.25">
      <c r="A13" s="35">
        <v>587890</v>
      </c>
      <c r="B13" s="35" t="s">
        <v>32</v>
      </c>
      <c r="C13" s="35" t="s">
        <v>1874</v>
      </c>
      <c r="D13" s="35" t="s">
        <v>1875</v>
      </c>
      <c r="E13" s="35">
        <v>2127.4499999999998</v>
      </c>
      <c r="F13" s="34">
        <v>43556</v>
      </c>
    </row>
    <row r="14" spans="1:6" ht="15.75" x14ac:dyDescent="0.25">
      <c r="A14" s="35">
        <v>526150</v>
      </c>
      <c r="B14" s="35" t="s">
        <v>258</v>
      </c>
      <c r="C14" s="35" t="s">
        <v>1158</v>
      </c>
      <c r="D14" s="35" t="s">
        <v>1876</v>
      </c>
      <c r="E14" s="35">
        <v>95</v>
      </c>
      <c r="F14" s="34">
        <v>43561</v>
      </c>
    </row>
    <row r="15" spans="1:6" ht="15.75" x14ac:dyDescent="0.25">
      <c r="A15" s="35">
        <v>526120</v>
      </c>
      <c r="B15" s="35" t="s">
        <v>217</v>
      </c>
      <c r="C15" s="35" t="s">
        <v>1158</v>
      </c>
      <c r="D15" s="35" t="s">
        <v>1876</v>
      </c>
      <c r="E15" s="35">
        <v>159.06</v>
      </c>
      <c r="F15" s="34">
        <v>43561</v>
      </c>
    </row>
    <row r="16" spans="1:6" ht="15.75" x14ac:dyDescent="0.25">
      <c r="A16" s="35">
        <v>526140</v>
      </c>
      <c r="B16" s="35" t="s">
        <v>1877</v>
      </c>
      <c r="C16" s="35" t="s">
        <v>1158</v>
      </c>
      <c r="D16" s="35" t="s">
        <v>1876</v>
      </c>
      <c r="E16" s="35">
        <v>206.34</v>
      </c>
      <c r="F16" s="34">
        <v>43561</v>
      </c>
    </row>
    <row r="17" spans="1:6" ht="15.75" x14ac:dyDescent="0.25">
      <c r="A17" s="35">
        <v>558921</v>
      </c>
      <c r="B17" s="35" t="s">
        <v>262</v>
      </c>
      <c r="C17" s="35" t="s">
        <v>263</v>
      </c>
      <c r="D17" s="35" t="s">
        <v>1878</v>
      </c>
      <c r="E17" s="35">
        <v>85.82</v>
      </c>
      <c r="F17" s="34">
        <v>43564</v>
      </c>
    </row>
    <row r="18" spans="1:6" ht="15.75" x14ac:dyDescent="0.25">
      <c r="A18" s="35">
        <v>558921</v>
      </c>
      <c r="B18" s="35" t="s">
        <v>262</v>
      </c>
      <c r="C18" s="35" t="s">
        <v>263</v>
      </c>
      <c r="D18" s="35" t="s">
        <v>1878</v>
      </c>
      <c r="E18" s="35">
        <v>2911.78</v>
      </c>
      <c r="F18" s="34">
        <v>43564</v>
      </c>
    </row>
    <row r="19" spans="1:6" ht="15.75" x14ac:dyDescent="0.25">
      <c r="A19" s="35">
        <v>587890</v>
      </c>
      <c r="B19" s="35" t="s">
        <v>32</v>
      </c>
      <c r="C19" s="35" t="s">
        <v>404</v>
      </c>
      <c r="D19" s="35" t="s">
        <v>1879</v>
      </c>
      <c r="E19" s="35">
        <v>336.13</v>
      </c>
      <c r="F19" s="34">
        <v>43566</v>
      </c>
    </row>
    <row r="20" spans="1:6" ht="15.75" x14ac:dyDescent="0.25">
      <c r="A20" s="35">
        <v>587890</v>
      </c>
      <c r="B20" s="35" t="s">
        <v>32</v>
      </c>
      <c r="C20" s="35" t="s">
        <v>1880</v>
      </c>
      <c r="D20" s="35" t="s">
        <v>1881</v>
      </c>
      <c r="E20" s="35">
        <v>3000</v>
      </c>
      <c r="F20" s="34">
        <v>43566</v>
      </c>
    </row>
    <row r="21" spans="1:6" ht="15.75" x14ac:dyDescent="0.25">
      <c r="A21" s="35">
        <v>558979</v>
      </c>
      <c r="B21" s="35" t="s">
        <v>150</v>
      </c>
      <c r="C21" s="35" t="s">
        <v>1531</v>
      </c>
      <c r="D21" s="35" t="s">
        <v>1882</v>
      </c>
      <c r="E21" s="35">
        <v>125</v>
      </c>
      <c r="F21" s="34">
        <v>43567</v>
      </c>
    </row>
    <row r="22" spans="1:6" ht="15.75" x14ac:dyDescent="0.25">
      <c r="A22" s="35">
        <v>558979</v>
      </c>
      <c r="B22" s="35" t="s">
        <v>150</v>
      </c>
      <c r="C22" s="35" t="s">
        <v>1542</v>
      </c>
      <c r="D22" s="35" t="s">
        <v>1883</v>
      </c>
      <c r="E22" s="35">
        <v>125</v>
      </c>
      <c r="F22" s="34">
        <v>43567</v>
      </c>
    </row>
    <row r="23" spans="1:6" ht="15.75" x14ac:dyDescent="0.25">
      <c r="A23" s="35">
        <v>558979</v>
      </c>
      <c r="B23" s="35" t="s">
        <v>150</v>
      </c>
      <c r="C23" s="35" t="s">
        <v>1216</v>
      </c>
      <c r="D23" s="35" t="s">
        <v>1884</v>
      </c>
      <c r="E23" s="35">
        <v>125</v>
      </c>
      <c r="F23" s="34">
        <v>43567</v>
      </c>
    </row>
    <row r="24" spans="1:6" ht="15.75" x14ac:dyDescent="0.25">
      <c r="A24" s="35">
        <v>558979</v>
      </c>
      <c r="B24" s="35" t="s">
        <v>150</v>
      </c>
      <c r="C24" s="35" t="s">
        <v>21</v>
      </c>
      <c r="D24" s="35" t="s">
        <v>1885</v>
      </c>
      <c r="E24" s="35">
        <v>125</v>
      </c>
      <c r="F24" s="34">
        <v>43567</v>
      </c>
    </row>
    <row r="25" spans="1:6" ht="15.75" x14ac:dyDescent="0.25">
      <c r="A25" s="35">
        <v>558979</v>
      </c>
      <c r="B25" s="35" t="s">
        <v>150</v>
      </c>
      <c r="C25" s="35" t="s">
        <v>1538</v>
      </c>
      <c r="D25" s="35" t="s">
        <v>1886</v>
      </c>
      <c r="E25" s="35">
        <v>125</v>
      </c>
      <c r="F25" s="34">
        <v>43567</v>
      </c>
    </row>
    <row r="26" spans="1:6" ht="15.75" x14ac:dyDescent="0.25">
      <c r="A26" s="35">
        <v>558979</v>
      </c>
      <c r="B26" s="35" t="s">
        <v>150</v>
      </c>
      <c r="C26" s="35" t="s">
        <v>1533</v>
      </c>
      <c r="D26" s="35" t="s">
        <v>1887</v>
      </c>
      <c r="E26" s="35">
        <v>125</v>
      </c>
      <c r="F26" s="34">
        <v>43567</v>
      </c>
    </row>
    <row r="27" spans="1:6" ht="15.75" x14ac:dyDescent="0.25">
      <c r="A27" s="35">
        <v>558979</v>
      </c>
      <c r="B27" s="35" t="s">
        <v>150</v>
      </c>
      <c r="C27" s="35" t="s">
        <v>1517</v>
      </c>
      <c r="D27" s="35" t="s">
        <v>1888</v>
      </c>
      <c r="E27" s="35">
        <v>125</v>
      </c>
      <c r="F27" s="34">
        <v>43567</v>
      </c>
    </row>
    <row r="28" spans="1:6" ht="15.75" x14ac:dyDescent="0.25">
      <c r="A28" s="35">
        <v>558979</v>
      </c>
      <c r="B28" s="35" t="s">
        <v>150</v>
      </c>
      <c r="C28" s="35" t="s">
        <v>1519</v>
      </c>
      <c r="D28" s="35" t="s">
        <v>1889</v>
      </c>
      <c r="E28" s="35">
        <v>125</v>
      </c>
      <c r="F28" s="34">
        <v>43567</v>
      </c>
    </row>
    <row r="29" spans="1:6" ht="15.75" x14ac:dyDescent="0.25">
      <c r="A29" s="35">
        <v>558979</v>
      </c>
      <c r="B29" s="35" t="s">
        <v>150</v>
      </c>
      <c r="C29" s="35" t="s">
        <v>1529</v>
      </c>
      <c r="D29" s="35" t="s">
        <v>1890</v>
      </c>
      <c r="E29" s="35">
        <v>125</v>
      </c>
      <c r="F29" s="34">
        <v>43567</v>
      </c>
    </row>
    <row r="30" spans="1:6" ht="15.75" x14ac:dyDescent="0.25">
      <c r="A30" s="35">
        <v>558979</v>
      </c>
      <c r="B30" s="35" t="s">
        <v>150</v>
      </c>
      <c r="C30" s="35" t="s">
        <v>1540</v>
      </c>
      <c r="D30" s="35" t="s">
        <v>1891</v>
      </c>
      <c r="E30" s="35">
        <v>125</v>
      </c>
      <c r="F30" s="34">
        <v>43567</v>
      </c>
    </row>
    <row r="31" spans="1:6" ht="15.75" x14ac:dyDescent="0.25">
      <c r="A31" s="35">
        <v>558979</v>
      </c>
      <c r="B31" s="35" t="s">
        <v>150</v>
      </c>
      <c r="C31" s="35" t="s">
        <v>1525</v>
      </c>
      <c r="D31" s="35" t="s">
        <v>1892</v>
      </c>
      <c r="E31" s="35">
        <v>125</v>
      </c>
      <c r="F31" s="34">
        <v>43567</v>
      </c>
    </row>
    <row r="32" spans="1:6" ht="15.75" x14ac:dyDescent="0.25">
      <c r="A32" s="35">
        <v>558979</v>
      </c>
      <c r="B32" s="35" t="s">
        <v>150</v>
      </c>
      <c r="C32" s="35" t="s">
        <v>1521</v>
      </c>
      <c r="D32" s="35" t="s">
        <v>1893</v>
      </c>
      <c r="E32" s="35">
        <v>125</v>
      </c>
      <c r="F32" s="34">
        <v>43567</v>
      </c>
    </row>
    <row r="33" spans="1:6" ht="15.75" x14ac:dyDescent="0.25">
      <c r="A33" s="35">
        <v>558979</v>
      </c>
      <c r="B33" s="35" t="s">
        <v>150</v>
      </c>
      <c r="C33" s="35" t="s">
        <v>1496</v>
      </c>
      <c r="D33" s="35" t="s">
        <v>1894</v>
      </c>
      <c r="E33" s="35">
        <v>125</v>
      </c>
      <c r="F33" s="34">
        <v>43567</v>
      </c>
    </row>
    <row r="34" spans="1:6" ht="15.75" x14ac:dyDescent="0.25">
      <c r="A34" s="35">
        <v>558979</v>
      </c>
      <c r="B34" s="35" t="s">
        <v>150</v>
      </c>
      <c r="C34" s="35" t="s">
        <v>1536</v>
      </c>
      <c r="D34" s="35" t="s">
        <v>1895</v>
      </c>
      <c r="E34" s="35">
        <v>125</v>
      </c>
      <c r="F34" s="34">
        <v>43567</v>
      </c>
    </row>
    <row r="35" spans="1:6" ht="15.75" x14ac:dyDescent="0.25">
      <c r="A35" s="35">
        <v>558979</v>
      </c>
      <c r="B35" s="35" t="s">
        <v>150</v>
      </c>
      <c r="C35" s="35" t="s">
        <v>1527</v>
      </c>
      <c r="D35" s="35" t="s">
        <v>1896</v>
      </c>
      <c r="E35" s="35">
        <v>125</v>
      </c>
      <c r="F35" s="34">
        <v>43567</v>
      </c>
    </row>
    <row r="36" spans="1:6" ht="15.75" x14ac:dyDescent="0.25">
      <c r="A36" s="35">
        <v>558979</v>
      </c>
      <c r="B36" s="35" t="s">
        <v>150</v>
      </c>
      <c r="C36" s="35" t="s">
        <v>1410</v>
      </c>
      <c r="D36" s="35" t="s">
        <v>1897</v>
      </c>
      <c r="E36" s="35">
        <v>200</v>
      </c>
      <c r="F36" s="34">
        <v>43567</v>
      </c>
    </row>
    <row r="37" spans="1:6" ht="15.75" x14ac:dyDescent="0.25">
      <c r="A37" s="35">
        <v>558979</v>
      </c>
      <c r="B37" s="35" t="s">
        <v>150</v>
      </c>
      <c r="C37" s="35" t="s">
        <v>1062</v>
      </c>
      <c r="D37" s="35" t="s">
        <v>1898</v>
      </c>
      <c r="E37" s="35">
        <v>200</v>
      </c>
      <c r="F37" s="34">
        <v>43567</v>
      </c>
    </row>
    <row r="38" spans="1:6" ht="15.75" x14ac:dyDescent="0.25">
      <c r="A38" s="35">
        <v>558979</v>
      </c>
      <c r="B38" s="35" t="s">
        <v>150</v>
      </c>
      <c r="C38" s="35" t="s">
        <v>1830</v>
      </c>
      <c r="D38" s="35" t="s">
        <v>1899</v>
      </c>
      <c r="E38" s="35">
        <v>200</v>
      </c>
      <c r="F38" s="34">
        <v>43567</v>
      </c>
    </row>
    <row r="39" spans="1:6" ht="15.75" x14ac:dyDescent="0.25">
      <c r="A39" s="35">
        <v>558979</v>
      </c>
      <c r="B39" s="35" t="s">
        <v>150</v>
      </c>
      <c r="C39" s="35" t="s">
        <v>927</v>
      </c>
      <c r="D39" s="35" t="s">
        <v>1900</v>
      </c>
      <c r="E39" s="35">
        <v>200</v>
      </c>
      <c r="F39" s="34">
        <v>43567</v>
      </c>
    </row>
    <row r="40" spans="1:6" ht="15.75" x14ac:dyDescent="0.25">
      <c r="A40" s="35">
        <v>558979</v>
      </c>
      <c r="B40" s="35" t="s">
        <v>150</v>
      </c>
      <c r="C40" s="35" t="s">
        <v>1001</v>
      </c>
      <c r="D40" s="35" t="s">
        <v>1901</v>
      </c>
      <c r="E40" s="35">
        <v>200</v>
      </c>
      <c r="F40" s="34">
        <v>43567</v>
      </c>
    </row>
    <row r="41" spans="1:6" ht="15.75" x14ac:dyDescent="0.25">
      <c r="A41" s="35">
        <v>558979</v>
      </c>
      <c r="B41" s="35" t="s">
        <v>150</v>
      </c>
      <c r="C41" s="35" t="s">
        <v>785</v>
      </c>
      <c r="D41" s="35" t="s">
        <v>1902</v>
      </c>
      <c r="E41" s="35">
        <v>200</v>
      </c>
      <c r="F41" s="34">
        <v>43567</v>
      </c>
    </row>
    <row r="42" spans="1:6" ht="15.75" x14ac:dyDescent="0.25">
      <c r="A42" s="35">
        <v>558979</v>
      </c>
      <c r="B42" s="35" t="s">
        <v>150</v>
      </c>
      <c r="C42" s="35" t="s">
        <v>1431</v>
      </c>
      <c r="D42" s="35" t="s">
        <v>1903</v>
      </c>
      <c r="E42" s="35">
        <v>200</v>
      </c>
      <c r="F42" s="34">
        <v>43567</v>
      </c>
    </row>
    <row r="43" spans="1:6" ht="15.75" x14ac:dyDescent="0.25">
      <c r="A43" s="35">
        <v>558979</v>
      </c>
      <c r="B43" s="35" t="s">
        <v>150</v>
      </c>
      <c r="C43" s="35" t="s">
        <v>1415</v>
      </c>
      <c r="D43" s="35" t="s">
        <v>1904</v>
      </c>
      <c r="E43" s="35">
        <v>200</v>
      </c>
      <c r="F43" s="34">
        <v>43567</v>
      </c>
    </row>
    <row r="44" spans="1:6" ht="15.75" x14ac:dyDescent="0.25">
      <c r="A44" s="35">
        <v>558979</v>
      </c>
      <c r="B44" s="35" t="s">
        <v>150</v>
      </c>
      <c r="C44" s="35" t="s">
        <v>1029</v>
      </c>
      <c r="D44" s="35" t="s">
        <v>1905</v>
      </c>
      <c r="E44" s="35">
        <v>225</v>
      </c>
      <c r="F44" s="34">
        <v>43567</v>
      </c>
    </row>
    <row r="45" spans="1:6" ht="15.75" x14ac:dyDescent="0.25">
      <c r="A45" s="35">
        <v>558979</v>
      </c>
      <c r="B45" s="35" t="s">
        <v>150</v>
      </c>
      <c r="C45" s="35" t="s">
        <v>789</v>
      </c>
      <c r="D45" s="35" t="s">
        <v>1906</v>
      </c>
      <c r="E45" s="35">
        <v>333.34</v>
      </c>
      <c r="F45" s="34">
        <v>43567</v>
      </c>
    </row>
    <row r="46" spans="1:6" ht="15.75" x14ac:dyDescent="0.25">
      <c r="A46" s="35">
        <v>558979</v>
      </c>
      <c r="B46" s="35" t="s">
        <v>150</v>
      </c>
      <c r="C46" s="35" t="s">
        <v>309</v>
      </c>
      <c r="D46" s="35" t="s">
        <v>1907</v>
      </c>
      <c r="E46" s="35">
        <v>541.66999999999996</v>
      </c>
      <c r="F46" s="34">
        <v>43567</v>
      </c>
    </row>
    <row r="47" spans="1:6" ht="15.75" x14ac:dyDescent="0.25">
      <c r="A47" s="35">
        <v>526712</v>
      </c>
      <c r="B47" s="35" t="s">
        <v>14</v>
      </c>
      <c r="C47" s="35" t="s">
        <v>1486</v>
      </c>
      <c r="D47" s="35" t="s">
        <v>1908</v>
      </c>
      <c r="E47" s="35">
        <v>71.94</v>
      </c>
      <c r="F47" s="34">
        <v>43570</v>
      </c>
    </row>
    <row r="48" spans="1:6" ht="15.75" x14ac:dyDescent="0.25">
      <c r="A48" s="35">
        <v>526712</v>
      </c>
      <c r="B48" s="35" t="s">
        <v>14</v>
      </c>
      <c r="C48" s="35" t="s">
        <v>1029</v>
      </c>
      <c r="D48" s="35" t="s">
        <v>1909</v>
      </c>
      <c r="E48" s="35">
        <v>110.22</v>
      </c>
      <c r="F48" s="34">
        <v>43570</v>
      </c>
    </row>
    <row r="49" spans="1:6" ht="15.75" x14ac:dyDescent="0.25">
      <c r="A49" s="35">
        <v>526712</v>
      </c>
      <c r="B49" s="35" t="s">
        <v>14</v>
      </c>
      <c r="C49" s="35" t="s">
        <v>1538</v>
      </c>
      <c r="D49" s="35" t="s">
        <v>1910</v>
      </c>
      <c r="E49" s="35">
        <v>125.74</v>
      </c>
      <c r="F49" s="34">
        <v>43570</v>
      </c>
    </row>
    <row r="50" spans="1:6" ht="15.75" x14ac:dyDescent="0.25">
      <c r="A50" s="35">
        <v>526712</v>
      </c>
      <c r="B50" s="35" t="s">
        <v>14</v>
      </c>
      <c r="C50" s="35" t="s">
        <v>1350</v>
      </c>
      <c r="D50" s="35" t="s">
        <v>1911</v>
      </c>
      <c r="E50" s="35">
        <v>36.299999999999997</v>
      </c>
      <c r="F50" s="34">
        <v>43571</v>
      </c>
    </row>
    <row r="51" spans="1:6" ht="15.75" x14ac:dyDescent="0.25">
      <c r="A51" s="35">
        <v>526712</v>
      </c>
      <c r="B51" s="35" t="s">
        <v>14</v>
      </c>
      <c r="C51" s="35" t="s">
        <v>413</v>
      </c>
      <c r="D51" s="35" t="s">
        <v>1912</v>
      </c>
      <c r="E51" s="35">
        <v>75.239999999999995</v>
      </c>
      <c r="F51" s="34">
        <v>43571</v>
      </c>
    </row>
    <row r="52" spans="1:6" ht="15.75" x14ac:dyDescent="0.25">
      <c r="A52" s="35">
        <v>526712</v>
      </c>
      <c r="B52" s="35" t="s">
        <v>14</v>
      </c>
      <c r="C52" s="35" t="s">
        <v>927</v>
      </c>
      <c r="D52" s="35" t="s">
        <v>1913</v>
      </c>
      <c r="E52" s="35">
        <v>89.76</v>
      </c>
      <c r="F52" s="34">
        <v>43571</v>
      </c>
    </row>
    <row r="53" spans="1:6" ht="15.75" x14ac:dyDescent="0.25">
      <c r="A53" s="35">
        <v>526712</v>
      </c>
      <c r="B53" s="35" t="s">
        <v>14</v>
      </c>
      <c r="C53" s="35" t="s">
        <v>1519</v>
      </c>
      <c r="D53" s="35" t="s">
        <v>1914</v>
      </c>
      <c r="E53" s="35">
        <v>110.22</v>
      </c>
      <c r="F53" s="34">
        <v>43571</v>
      </c>
    </row>
    <row r="54" spans="1:6" ht="15.75" x14ac:dyDescent="0.25">
      <c r="A54" s="35">
        <v>487110</v>
      </c>
      <c r="B54" s="35" t="s">
        <v>36</v>
      </c>
      <c r="C54" s="35" t="s">
        <v>1915</v>
      </c>
      <c r="D54" s="35" t="s">
        <v>1916</v>
      </c>
      <c r="E54" s="35">
        <v>1295</v>
      </c>
      <c r="F54" s="34">
        <v>43571</v>
      </c>
    </row>
    <row r="55" spans="1:6" ht="15.75" x14ac:dyDescent="0.25">
      <c r="A55" s="35">
        <v>526712</v>
      </c>
      <c r="B55" s="35" t="s">
        <v>14</v>
      </c>
      <c r="C55" s="35" t="s">
        <v>1431</v>
      </c>
      <c r="D55" s="35" t="s">
        <v>1917</v>
      </c>
      <c r="E55" s="35">
        <v>51.04</v>
      </c>
      <c r="F55" s="34">
        <v>43572</v>
      </c>
    </row>
    <row r="56" spans="1:6" ht="15.75" x14ac:dyDescent="0.25">
      <c r="A56" s="35">
        <v>526712</v>
      </c>
      <c r="B56" s="35" t="s">
        <v>14</v>
      </c>
      <c r="C56" s="35" t="s">
        <v>1690</v>
      </c>
      <c r="D56" s="35" t="s">
        <v>1918</v>
      </c>
      <c r="E56" s="35">
        <v>53.46</v>
      </c>
      <c r="F56" s="34">
        <v>43572</v>
      </c>
    </row>
    <row r="57" spans="1:6" ht="15.75" x14ac:dyDescent="0.25">
      <c r="A57" s="35">
        <v>526712</v>
      </c>
      <c r="B57" s="35" t="s">
        <v>14</v>
      </c>
      <c r="C57" s="35" t="s">
        <v>1830</v>
      </c>
      <c r="D57" s="35" t="s">
        <v>1919</v>
      </c>
      <c r="E57" s="35">
        <v>75.239999999999995</v>
      </c>
      <c r="F57" s="34">
        <v>43572</v>
      </c>
    </row>
    <row r="58" spans="1:6" ht="15.75" x14ac:dyDescent="0.25">
      <c r="A58" s="35">
        <v>526712</v>
      </c>
      <c r="B58" s="35" t="s">
        <v>14</v>
      </c>
      <c r="C58" s="35" t="s">
        <v>785</v>
      </c>
      <c r="D58" s="35" t="s">
        <v>1920</v>
      </c>
      <c r="E58" s="35">
        <v>99.34</v>
      </c>
      <c r="F58" s="34">
        <v>43572</v>
      </c>
    </row>
    <row r="59" spans="1:6" ht="15.75" x14ac:dyDescent="0.25">
      <c r="A59" s="35">
        <v>487110</v>
      </c>
      <c r="B59" s="35" t="s">
        <v>36</v>
      </c>
      <c r="C59" s="35" t="s">
        <v>1921</v>
      </c>
      <c r="D59" s="35" t="s">
        <v>1922</v>
      </c>
      <c r="E59" s="35">
        <v>10768.39</v>
      </c>
      <c r="F59" s="34">
        <v>43573</v>
      </c>
    </row>
    <row r="60" spans="1:6" ht="15.75" x14ac:dyDescent="0.25">
      <c r="A60" s="35">
        <v>526712</v>
      </c>
      <c r="B60" s="35" t="s">
        <v>14</v>
      </c>
      <c r="C60" s="35" t="s">
        <v>1531</v>
      </c>
      <c r="D60" s="35" t="s">
        <v>1923</v>
      </c>
      <c r="E60" s="35">
        <v>23.2</v>
      </c>
      <c r="F60" s="34">
        <v>43577</v>
      </c>
    </row>
    <row r="61" spans="1:6" ht="15.75" x14ac:dyDescent="0.25">
      <c r="A61" s="35">
        <v>526712</v>
      </c>
      <c r="B61" s="35" t="s">
        <v>14</v>
      </c>
      <c r="C61" s="35" t="s">
        <v>1924</v>
      </c>
      <c r="D61" s="35" t="s">
        <v>1925</v>
      </c>
      <c r="E61" s="35">
        <v>99.34</v>
      </c>
      <c r="F61" s="34">
        <v>43577</v>
      </c>
    </row>
    <row r="62" spans="1:6" ht="15.75" x14ac:dyDescent="0.25">
      <c r="A62" s="35">
        <v>526712</v>
      </c>
      <c r="B62" s="35" t="s">
        <v>14</v>
      </c>
      <c r="C62" s="35" t="s">
        <v>1926</v>
      </c>
      <c r="D62" s="35" t="s">
        <v>1927</v>
      </c>
      <c r="E62" s="35">
        <v>180.84</v>
      </c>
      <c r="F62" s="34">
        <v>43577</v>
      </c>
    </row>
    <row r="63" spans="1:6" ht="15.75" x14ac:dyDescent="0.25">
      <c r="A63" s="35">
        <v>526741</v>
      </c>
      <c r="B63" s="35" t="s">
        <v>23</v>
      </c>
      <c r="C63" s="35" t="s">
        <v>1685</v>
      </c>
      <c r="D63" s="35" t="s">
        <v>1928</v>
      </c>
      <c r="E63" s="35">
        <v>2035.2</v>
      </c>
      <c r="F63" s="34">
        <v>43577</v>
      </c>
    </row>
    <row r="64" spans="1:6" ht="15.75" x14ac:dyDescent="0.25">
      <c r="A64" s="35">
        <v>587890</v>
      </c>
      <c r="B64" s="35" t="s">
        <v>32</v>
      </c>
      <c r="C64" s="35" t="s">
        <v>404</v>
      </c>
      <c r="D64" s="35" t="s">
        <v>1587</v>
      </c>
      <c r="E64" s="35">
        <v>-930</v>
      </c>
      <c r="F64" s="34">
        <v>43579</v>
      </c>
    </row>
    <row r="65" spans="1:6" ht="15.75" x14ac:dyDescent="0.25">
      <c r="A65" s="35">
        <v>587890</v>
      </c>
      <c r="B65" s="35" t="s">
        <v>32</v>
      </c>
      <c r="C65" s="35" t="s">
        <v>462</v>
      </c>
      <c r="D65" s="35" t="s">
        <v>1929</v>
      </c>
      <c r="E65" s="35">
        <v>1093.3</v>
      </c>
      <c r="F65" s="34">
        <v>43579</v>
      </c>
    </row>
    <row r="66" spans="1:6" ht="15.75" x14ac:dyDescent="0.25">
      <c r="A66" s="35">
        <v>587890</v>
      </c>
      <c r="B66" s="35" t="s">
        <v>32</v>
      </c>
      <c r="C66" s="35" t="s">
        <v>443</v>
      </c>
      <c r="D66" s="35" t="s">
        <v>1930</v>
      </c>
      <c r="E66" s="35">
        <v>1726.23</v>
      </c>
      <c r="F66" s="34">
        <v>43579</v>
      </c>
    </row>
    <row r="67" spans="1:6" ht="15.75" x14ac:dyDescent="0.25">
      <c r="A67" s="35">
        <v>587890</v>
      </c>
      <c r="B67" s="35" t="s">
        <v>32</v>
      </c>
      <c r="C67" s="35" t="s">
        <v>462</v>
      </c>
      <c r="D67" s="35" t="s">
        <v>1931</v>
      </c>
      <c r="E67" s="35">
        <v>2700.91</v>
      </c>
      <c r="F67" s="34">
        <v>43579</v>
      </c>
    </row>
    <row r="68" spans="1:6" ht="15.75" x14ac:dyDescent="0.25">
      <c r="A68" s="35">
        <v>587890</v>
      </c>
      <c r="B68" s="35" t="s">
        <v>32</v>
      </c>
      <c r="C68" s="35" t="s">
        <v>404</v>
      </c>
      <c r="D68" s="35" t="s">
        <v>1932</v>
      </c>
      <c r="E68" s="35">
        <v>3000</v>
      </c>
      <c r="F68" s="34">
        <v>43579</v>
      </c>
    </row>
    <row r="69" spans="1:6" ht="15.75" x14ac:dyDescent="0.25">
      <c r="A69" s="35">
        <v>569311</v>
      </c>
      <c r="B69" s="35" t="s">
        <v>1933</v>
      </c>
      <c r="C69" s="35" t="s">
        <v>1934</v>
      </c>
      <c r="D69" s="35">
        <v>2000005595</v>
      </c>
      <c r="E69" s="35">
        <v>-41344</v>
      </c>
      <c r="F69" s="34">
        <v>43581</v>
      </c>
    </row>
    <row r="70" spans="1:6" ht="15.75" x14ac:dyDescent="0.25">
      <c r="A70" s="35">
        <v>569311</v>
      </c>
      <c r="B70" s="35" t="s">
        <v>1933</v>
      </c>
      <c r="C70" s="35" t="s">
        <v>1934</v>
      </c>
      <c r="D70" s="35">
        <v>2000005595</v>
      </c>
      <c r="E70" s="35">
        <v>41344</v>
      </c>
      <c r="F70" s="34">
        <v>43581</v>
      </c>
    </row>
    <row r="71" spans="1:6" ht="15.75" x14ac:dyDescent="0.25">
      <c r="A71" s="35">
        <v>569311</v>
      </c>
      <c r="B71" s="35" t="s">
        <v>1933</v>
      </c>
      <c r="C71" s="35"/>
      <c r="D71" s="35">
        <v>1000006446</v>
      </c>
      <c r="E71" s="35">
        <v>41344</v>
      </c>
      <c r="F71" s="34">
        <v>43581</v>
      </c>
    </row>
    <row r="72" spans="1:6" ht="15.75" x14ac:dyDescent="0.25">
      <c r="A72" s="35">
        <v>531110</v>
      </c>
      <c r="B72" s="35" t="s">
        <v>27</v>
      </c>
      <c r="C72" s="35" t="s">
        <v>28</v>
      </c>
      <c r="D72" s="35">
        <v>2000005509</v>
      </c>
      <c r="E72" s="35">
        <v>0</v>
      </c>
      <c r="F72" s="34">
        <v>43582</v>
      </c>
    </row>
    <row r="73" spans="1:6" ht="15.75" x14ac:dyDescent="0.25">
      <c r="A73" s="35">
        <v>531110</v>
      </c>
      <c r="B73" s="35" t="s">
        <v>27</v>
      </c>
      <c r="C73" s="35" t="s">
        <v>28</v>
      </c>
      <c r="D73" s="35">
        <v>2000005509</v>
      </c>
      <c r="E73" s="35">
        <v>0</v>
      </c>
      <c r="F73" s="34">
        <v>43582</v>
      </c>
    </row>
    <row r="74" spans="1:6" ht="15.75" x14ac:dyDescent="0.25">
      <c r="A74" s="35">
        <v>531110</v>
      </c>
      <c r="B74" s="35" t="s">
        <v>27</v>
      </c>
      <c r="C74" s="35"/>
      <c r="D74" s="35">
        <v>1000006337</v>
      </c>
      <c r="E74" s="35">
        <v>0</v>
      </c>
      <c r="F74" s="34">
        <v>43582</v>
      </c>
    </row>
    <row r="75" spans="1:6" ht="15.75" x14ac:dyDescent="0.25">
      <c r="A75" s="35">
        <v>531110</v>
      </c>
      <c r="B75" s="35" t="s">
        <v>27</v>
      </c>
      <c r="C75" s="35"/>
      <c r="D75" s="35">
        <v>1000006337</v>
      </c>
      <c r="E75" s="35">
        <v>0</v>
      </c>
      <c r="F75" s="34">
        <v>43582</v>
      </c>
    </row>
    <row r="76" spans="1:6" ht="15.75" x14ac:dyDescent="0.25">
      <c r="A76" s="35">
        <v>531110</v>
      </c>
      <c r="B76" s="35" t="s">
        <v>27</v>
      </c>
      <c r="C76" s="35" t="s">
        <v>28</v>
      </c>
      <c r="D76" s="35">
        <v>2000005509</v>
      </c>
      <c r="E76" s="35">
        <v>9.36</v>
      </c>
      <c r="F76" s="34">
        <v>43582</v>
      </c>
    </row>
    <row r="77" spans="1:6" ht="15.75" x14ac:dyDescent="0.25">
      <c r="A77" s="35">
        <v>531110</v>
      </c>
      <c r="B77" s="35" t="s">
        <v>27</v>
      </c>
      <c r="C77" s="35"/>
      <c r="D77" s="35">
        <v>1000006337</v>
      </c>
      <c r="E77" s="35">
        <v>9.36</v>
      </c>
      <c r="F77" s="34">
        <v>43582</v>
      </c>
    </row>
    <row r="78" spans="1:6" ht="15.75" x14ac:dyDescent="0.25">
      <c r="A78" s="35">
        <v>531110</v>
      </c>
      <c r="B78" s="35" t="s">
        <v>27</v>
      </c>
      <c r="C78" s="35" t="s">
        <v>28</v>
      </c>
      <c r="D78" s="35">
        <v>2000005509</v>
      </c>
      <c r="E78" s="35">
        <v>53.94</v>
      </c>
      <c r="F78" s="34">
        <v>43582</v>
      </c>
    </row>
    <row r="79" spans="1:6" ht="15.75" x14ac:dyDescent="0.25">
      <c r="A79" s="35">
        <v>531110</v>
      </c>
      <c r="B79" s="35" t="s">
        <v>27</v>
      </c>
      <c r="C79" s="35"/>
      <c r="D79" s="35">
        <v>1000006337</v>
      </c>
      <c r="E79" s="35">
        <v>53.94</v>
      </c>
      <c r="F79" s="34">
        <v>43582</v>
      </c>
    </row>
    <row r="80" spans="1:6" ht="15.75" x14ac:dyDescent="0.25">
      <c r="A80" s="35">
        <v>515130</v>
      </c>
      <c r="B80" s="35" t="s">
        <v>10</v>
      </c>
      <c r="C80" s="35" t="s">
        <v>7</v>
      </c>
      <c r="D80" s="35" t="s">
        <v>1935</v>
      </c>
      <c r="E80" s="35">
        <v>62.99</v>
      </c>
      <c r="F80" s="34">
        <v>43585</v>
      </c>
    </row>
    <row r="81" spans="1:6" ht="15.75" x14ac:dyDescent="0.25">
      <c r="A81" s="35">
        <v>515120</v>
      </c>
      <c r="B81" s="35" t="s">
        <v>9</v>
      </c>
      <c r="C81" s="35" t="s">
        <v>7</v>
      </c>
      <c r="D81" s="35" t="s">
        <v>1935</v>
      </c>
      <c r="E81" s="35">
        <v>269.35000000000002</v>
      </c>
      <c r="F81" s="34">
        <v>43585</v>
      </c>
    </row>
    <row r="82" spans="1:6" ht="15.75" x14ac:dyDescent="0.25">
      <c r="A82" s="35">
        <v>515420</v>
      </c>
      <c r="B82" s="35" t="s">
        <v>12</v>
      </c>
      <c r="C82" s="35" t="s">
        <v>7</v>
      </c>
      <c r="D82" s="35" t="s">
        <v>1935</v>
      </c>
      <c r="E82" s="35">
        <v>283.11</v>
      </c>
      <c r="F82" s="34">
        <v>43585</v>
      </c>
    </row>
    <row r="83" spans="1:6" ht="15.75" x14ac:dyDescent="0.25">
      <c r="A83" s="35">
        <v>515410</v>
      </c>
      <c r="B83" s="35" t="s">
        <v>11</v>
      </c>
      <c r="C83" s="35" t="s">
        <v>7</v>
      </c>
      <c r="D83" s="35" t="s">
        <v>1935</v>
      </c>
      <c r="E83" s="35">
        <v>302.10000000000002</v>
      </c>
      <c r="F83" s="34">
        <v>43585</v>
      </c>
    </row>
    <row r="84" spans="1:6" ht="15.75" x14ac:dyDescent="0.25">
      <c r="A84" s="35">
        <v>515530</v>
      </c>
      <c r="B84" s="35" t="s">
        <v>13</v>
      </c>
      <c r="C84" s="35" t="s">
        <v>7</v>
      </c>
      <c r="D84" s="35" t="s">
        <v>1935</v>
      </c>
      <c r="E84" s="35">
        <v>348.28</v>
      </c>
      <c r="F84" s="34">
        <v>43585</v>
      </c>
    </row>
    <row r="85" spans="1:6" ht="15.75" x14ac:dyDescent="0.25">
      <c r="A85" s="35">
        <v>511120</v>
      </c>
      <c r="B85" s="35" t="s">
        <v>6</v>
      </c>
      <c r="C85" s="35" t="s">
        <v>7</v>
      </c>
      <c r="D85" s="35" t="s">
        <v>1935</v>
      </c>
      <c r="E85" s="35">
        <v>4416.6400000000003</v>
      </c>
      <c r="F85" s="34">
        <v>43585</v>
      </c>
    </row>
  </sheetData>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2B8D4-9E07-4ADD-BBF2-C84CBE539D09}">
  <dimension ref="A1:F319"/>
  <sheetViews>
    <sheetView topLeftCell="A246" workbookViewId="0">
      <selection activeCell="D18" sqref="D18"/>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526712</v>
      </c>
      <c r="B2" s="35" t="s">
        <v>14</v>
      </c>
      <c r="C2" s="35" t="s">
        <v>1783</v>
      </c>
      <c r="D2" s="35" t="s">
        <v>1784</v>
      </c>
      <c r="E2" s="35">
        <v>72.599999999999994</v>
      </c>
      <c r="F2" s="34">
        <v>43525</v>
      </c>
    </row>
    <row r="3" spans="1:6" ht="15.75" x14ac:dyDescent="0.25">
      <c r="A3" s="35">
        <v>587890</v>
      </c>
      <c r="B3" s="35" t="s">
        <v>32</v>
      </c>
      <c r="C3" s="35" t="s">
        <v>1785</v>
      </c>
      <c r="D3" s="35" t="s">
        <v>1786</v>
      </c>
      <c r="E3" s="35">
        <v>1446.07</v>
      </c>
      <c r="F3" s="34">
        <v>43525</v>
      </c>
    </row>
    <row r="4" spans="1:6" ht="15.75" x14ac:dyDescent="0.25">
      <c r="A4" s="35">
        <v>526741</v>
      </c>
      <c r="B4" s="35" t="s">
        <v>23</v>
      </c>
      <c r="C4" s="35" t="s">
        <v>730</v>
      </c>
      <c r="D4" s="35" t="s">
        <v>1787</v>
      </c>
      <c r="E4" s="35">
        <v>3893.4</v>
      </c>
      <c r="F4" s="34">
        <v>43525</v>
      </c>
    </row>
    <row r="5" spans="1:6" ht="15.75" x14ac:dyDescent="0.25">
      <c r="A5" s="35">
        <v>526712</v>
      </c>
      <c r="B5" s="35" t="s">
        <v>14</v>
      </c>
      <c r="C5" s="35" t="s">
        <v>1788</v>
      </c>
      <c r="D5" s="35" t="s">
        <v>1789</v>
      </c>
      <c r="E5" s="35">
        <v>161.69999999999999</v>
      </c>
      <c r="F5" s="34">
        <v>43528</v>
      </c>
    </row>
    <row r="6" spans="1:6" ht="15.75" x14ac:dyDescent="0.25">
      <c r="A6" s="35">
        <v>558921</v>
      </c>
      <c r="B6" s="35" t="s">
        <v>262</v>
      </c>
      <c r="C6" s="35" t="s">
        <v>443</v>
      </c>
      <c r="D6" s="35" t="s">
        <v>1790</v>
      </c>
      <c r="E6" s="35">
        <v>990</v>
      </c>
      <c r="F6" s="34">
        <v>43528</v>
      </c>
    </row>
    <row r="7" spans="1:6" ht="15.75" x14ac:dyDescent="0.25">
      <c r="A7" s="35">
        <v>587890</v>
      </c>
      <c r="B7" s="35" t="s">
        <v>32</v>
      </c>
      <c r="C7" s="35" t="s">
        <v>462</v>
      </c>
      <c r="D7" s="35" t="s">
        <v>1791</v>
      </c>
      <c r="E7" s="35">
        <v>1150</v>
      </c>
      <c r="F7" s="34">
        <v>43531</v>
      </c>
    </row>
    <row r="8" spans="1:6" ht="15.75" x14ac:dyDescent="0.25">
      <c r="A8" s="35">
        <v>587890</v>
      </c>
      <c r="B8" s="35" t="s">
        <v>32</v>
      </c>
      <c r="C8" s="35" t="s">
        <v>1792</v>
      </c>
      <c r="D8" s="35" t="s">
        <v>1793</v>
      </c>
      <c r="E8" s="35">
        <v>1200</v>
      </c>
      <c r="F8" s="34">
        <v>43531</v>
      </c>
    </row>
    <row r="9" spans="1:6" ht="15.75" x14ac:dyDescent="0.25">
      <c r="A9" s="35">
        <v>587890</v>
      </c>
      <c r="B9" s="35" t="s">
        <v>32</v>
      </c>
      <c r="C9" s="35" t="s">
        <v>631</v>
      </c>
      <c r="D9" s="35" t="s">
        <v>1794</v>
      </c>
      <c r="E9" s="35">
        <v>3000</v>
      </c>
      <c r="F9" s="34">
        <v>43531</v>
      </c>
    </row>
    <row r="10" spans="1:6" ht="15.75" x14ac:dyDescent="0.25">
      <c r="A10" s="35">
        <v>526150</v>
      </c>
      <c r="B10" s="35" t="s">
        <v>258</v>
      </c>
      <c r="C10" s="35" t="s">
        <v>1158</v>
      </c>
      <c r="D10" s="35" t="s">
        <v>1795</v>
      </c>
      <c r="E10" s="35">
        <v>18.899999999999999</v>
      </c>
      <c r="F10" s="34">
        <v>43532</v>
      </c>
    </row>
    <row r="11" spans="1:6" ht="15.75" x14ac:dyDescent="0.25">
      <c r="A11" s="35">
        <v>526120</v>
      </c>
      <c r="B11" s="35" t="s">
        <v>217</v>
      </c>
      <c r="C11" s="35" t="s">
        <v>1158</v>
      </c>
      <c r="D11" s="35" t="s">
        <v>1795</v>
      </c>
      <c r="E11" s="35">
        <v>67.319999999999993</v>
      </c>
      <c r="F11" s="34">
        <v>43532</v>
      </c>
    </row>
    <row r="12" spans="1:6" ht="15.75" x14ac:dyDescent="0.25">
      <c r="A12" s="35">
        <v>587890</v>
      </c>
      <c r="B12" s="35" t="s">
        <v>32</v>
      </c>
      <c r="C12" s="35" t="s">
        <v>443</v>
      </c>
      <c r="D12" s="35" t="s">
        <v>1796</v>
      </c>
      <c r="E12" s="35">
        <v>300.75</v>
      </c>
      <c r="F12" s="34">
        <v>43537</v>
      </c>
    </row>
    <row r="13" spans="1:6" ht="15.75" x14ac:dyDescent="0.25">
      <c r="A13" s="35">
        <v>587890</v>
      </c>
      <c r="B13" s="35" t="s">
        <v>32</v>
      </c>
      <c r="C13" s="35" t="s">
        <v>445</v>
      </c>
      <c r="D13" s="35" t="s">
        <v>1797</v>
      </c>
      <c r="E13" s="35">
        <v>1199</v>
      </c>
      <c r="F13" s="34">
        <v>43537</v>
      </c>
    </row>
    <row r="14" spans="1:6" ht="15.75" x14ac:dyDescent="0.25">
      <c r="A14" s="35">
        <v>587890</v>
      </c>
      <c r="B14" s="35" t="s">
        <v>32</v>
      </c>
      <c r="C14" s="35" t="s">
        <v>1798</v>
      </c>
      <c r="D14" s="35" t="s">
        <v>1799</v>
      </c>
      <c r="E14" s="35">
        <v>2605.5300000000002</v>
      </c>
      <c r="F14" s="34">
        <v>43537</v>
      </c>
    </row>
    <row r="15" spans="1:6" ht="15.75" x14ac:dyDescent="0.25">
      <c r="A15" s="35">
        <v>587890</v>
      </c>
      <c r="B15" s="35" t="s">
        <v>32</v>
      </c>
      <c r="C15" s="35" t="s">
        <v>1800</v>
      </c>
      <c r="D15" s="35" t="s">
        <v>1801</v>
      </c>
      <c r="E15" s="35">
        <v>2636.28</v>
      </c>
      <c r="F15" s="34">
        <v>43537</v>
      </c>
    </row>
    <row r="16" spans="1:6" ht="15.75" x14ac:dyDescent="0.25">
      <c r="A16" s="35">
        <v>587890</v>
      </c>
      <c r="B16" s="35" t="s">
        <v>32</v>
      </c>
      <c r="C16" s="35" t="s">
        <v>445</v>
      </c>
      <c r="D16" s="35" t="s">
        <v>1802</v>
      </c>
      <c r="E16" s="35">
        <v>2981.4</v>
      </c>
      <c r="F16" s="34">
        <v>43537</v>
      </c>
    </row>
    <row r="17" spans="1:6" ht="15.75" x14ac:dyDescent="0.25">
      <c r="A17" s="35">
        <v>526712</v>
      </c>
      <c r="B17" s="35" t="s">
        <v>14</v>
      </c>
      <c r="C17" s="35" t="s">
        <v>14</v>
      </c>
      <c r="D17" s="35" t="s">
        <v>1803</v>
      </c>
      <c r="E17" s="35">
        <v>-378</v>
      </c>
      <c r="F17" s="34">
        <v>43542</v>
      </c>
    </row>
    <row r="18" spans="1:6" ht="15.75" x14ac:dyDescent="0.25">
      <c r="A18" s="35">
        <v>526712</v>
      </c>
      <c r="B18" s="35" t="s">
        <v>14</v>
      </c>
      <c r="C18" s="35" t="s">
        <v>14</v>
      </c>
      <c r="D18" s="35" t="s">
        <v>1803</v>
      </c>
      <c r="E18" s="35">
        <v>-281.52</v>
      </c>
      <c r="F18" s="34">
        <v>43542</v>
      </c>
    </row>
    <row r="19" spans="1:6" ht="15.75" x14ac:dyDescent="0.25">
      <c r="A19" s="35">
        <v>526712</v>
      </c>
      <c r="B19" s="35" t="s">
        <v>14</v>
      </c>
      <c r="C19" s="35" t="s">
        <v>14</v>
      </c>
      <c r="D19" s="35" t="s">
        <v>1803</v>
      </c>
      <c r="E19" s="35">
        <v>-267.3</v>
      </c>
      <c r="F19" s="34">
        <v>43542</v>
      </c>
    </row>
    <row r="20" spans="1:6" ht="15.75" x14ac:dyDescent="0.25">
      <c r="A20" s="35">
        <v>526712</v>
      </c>
      <c r="B20" s="35" t="s">
        <v>14</v>
      </c>
      <c r="C20" s="35" t="s">
        <v>14</v>
      </c>
      <c r="D20" s="35" t="s">
        <v>1803</v>
      </c>
      <c r="E20" s="35">
        <v>-249.48</v>
      </c>
      <c r="F20" s="34">
        <v>43542</v>
      </c>
    </row>
    <row r="21" spans="1:6" ht="15.75" x14ac:dyDescent="0.25">
      <c r="A21" s="35">
        <v>526712</v>
      </c>
      <c r="B21" s="35" t="s">
        <v>14</v>
      </c>
      <c r="C21" s="35" t="s">
        <v>14</v>
      </c>
      <c r="D21" s="35" t="s">
        <v>1803</v>
      </c>
      <c r="E21" s="35">
        <v>-248.88</v>
      </c>
      <c r="F21" s="34">
        <v>43542</v>
      </c>
    </row>
    <row r="22" spans="1:6" ht="15.75" x14ac:dyDescent="0.25">
      <c r="A22" s="35">
        <v>526712</v>
      </c>
      <c r="B22" s="35" t="s">
        <v>14</v>
      </c>
      <c r="C22" s="35" t="s">
        <v>14</v>
      </c>
      <c r="D22" s="35" t="s">
        <v>1803</v>
      </c>
      <c r="E22" s="35">
        <v>-248.88</v>
      </c>
      <c r="F22" s="34">
        <v>43542</v>
      </c>
    </row>
    <row r="23" spans="1:6" ht="15.75" x14ac:dyDescent="0.25">
      <c r="A23" s="35">
        <v>526712</v>
      </c>
      <c r="B23" s="35" t="s">
        <v>14</v>
      </c>
      <c r="C23" s="35" t="s">
        <v>14</v>
      </c>
      <c r="D23" s="35" t="s">
        <v>1803</v>
      </c>
      <c r="E23" s="35">
        <v>-225.08</v>
      </c>
      <c r="F23" s="34">
        <v>43542</v>
      </c>
    </row>
    <row r="24" spans="1:6" ht="15.75" x14ac:dyDescent="0.25">
      <c r="A24" s="35">
        <v>526712</v>
      </c>
      <c r="B24" s="35" t="s">
        <v>14</v>
      </c>
      <c r="C24" s="35" t="s">
        <v>14</v>
      </c>
      <c r="D24" s="35" t="s">
        <v>1803</v>
      </c>
      <c r="E24" s="35">
        <v>-223</v>
      </c>
      <c r="F24" s="34">
        <v>43542</v>
      </c>
    </row>
    <row r="25" spans="1:6" ht="15.75" x14ac:dyDescent="0.25">
      <c r="A25" s="35">
        <v>526712</v>
      </c>
      <c r="B25" s="35" t="s">
        <v>14</v>
      </c>
      <c r="C25" s="35" t="s">
        <v>14</v>
      </c>
      <c r="D25" s="35" t="s">
        <v>1803</v>
      </c>
      <c r="E25" s="35">
        <v>-210.8</v>
      </c>
      <c r="F25" s="34">
        <v>43542</v>
      </c>
    </row>
    <row r="26" spans="1:6" ht="15.75" x14ac:dyDescent="0.25">
      <c r="A26" s="35">
        <v>526712</v>
      </c>
      <c r="B26" s="35" t="s">
        <v>14</v>
      </c>
      <c r="C26" s="35" t="s">
        <v>14</v>
      </c>
      <c r="D26" s="35" t="s">
        <v>1803</v>
      </c>
      <c r="E26" s="35">
        <v>-210.8</v>
      </c>
      <c r="F26" s="34">
        <v>43542</v>
      </c>
    </row>
    <row r="27" spans="1:6" ht="15.75" x14ac:dyDescent="0.25">
      <c r="A27" s="35">
        <v>526712</v>
      </c>
      <c r="B27" s="35" t="s">
        <v>14</v>
      </c>
      <c r="C27" s="35" t="s">
        <v>14</v>
      </c>
      <c r="D27" s="35" t="s">
        <v>1803</v>
      </c>
      <c r="E27" s="35">
        <v>-204.6</v>
      </c>
      <c r="F27" s="34">
        <v>43542</v>
      </c>
    </row>
    <row r="28" spans="1:6" ht="15.75" x14ac:dyDescent="0.25">
      <c r="A28" s="35">
        <v>526712</v>
      </c>
      <c r="B28" s="35" t="s">
        <v>14</v>
      </c>
      <c r="C28" s="35" t="s">
        <v>14</v>
      </c>
      <c r="D28" s="35" t="s">
        <v>1803</v>
      </c>
      <c r="E28" s="35">
        <v>-193.38</v>
      </c>
      <c r="F28" s="34">
        <v>43542</v>
      </c>
    </row>
    <row r="29" spans="1:6" ht="15.75" x14ac:dyDescent="0.25">
      <c r="A29" s="35">
        <v>526712</v>
      </c>
      <c r="B29" s="35" t="s">
        <v>14</v>
      </c>
      <c r="C29" s="35" t="s">
        <v>14</v>
      </c>
      <c r="D29" s="35" t="s">
        <v>1803</v>
      </c>
      <c r="E29" s="35">
        <v>-178.2</v>
      </c>
      <c r="F29" s="34">
        <v>43542</v>
      </c>
    </row>
    <row r="30" spans="1:6" ht="15.75" x14ac:dyDescent="0.25">
      <c r="A30" s="35">
        <v>526712</v>
      </c>
      <c r="B30" s="35" t="s">
        <v>14</v>
      </c>
      <c r="C30" s="35" t="s">
        <v>14</v>
      </c>
      <c r="D30" s="35" t="s">
        <v>1803</v>
      </c>
      <c r="E30" s="35">
        <v>-178.2</v>
      </c>
      <c r="F30" s="34">
        <v>43542</v>
      </c>
    </row>
    <row r="31" spans="1:6" ht="15.75" x14ac:dyDescent="0.25">
      <c r="A31" s="35">
        <v>526712</v>
      </c>
      <c r="B31" s="35" t="s">
        <v>14</v>
      </c>
      <c r="C31" s="35" t="s">
        <v>14</v>
      </c>
      <c r="D31" s="35" t="s">
        <v>1803</v>
      </c>
      <c r="E31" s="35">
        <v>-178.2</v>
      </c>
      <c r="F31" s="34">
        <v>43542</v>
      </c>
    </row>
    <row r="32" spans="1:6" ht="15.75" x14ac:dyDescent="0.25">
      <c r="A32" s="35">
        <v>526712</v>
      </c>
      <c r="B32" s="35" t="s">
        <v>14</v>
      </c>
      <c r="C32" s="35" t="s">
        <v>14</v>
      </c>
      <c r="D32" s="35" t="s">
        <v>1803</v>
      </c>
      <c r="E32" s="35">
        <v>-178.2</v>
      </c>
      <c r="F32" s="34">
        <v>43542</v>
      </c>
    </row>
    <row r="33" spans="1:6" ht="15.75" x14ac:dyDescent="0.25">
      <c r="A33" s="35">
        <v>526712</v>
      </c>
      <c r="B33" s="35" t="s">
        <v>14</v>
      </c>
      <c r="C33" s="35" t="s">
        <v>14</v>
      </c>
      <c r="D33" s="35" t="s">
        <v>1803</v>
      </c>
      <c r="E33" s="35">
        <v>-177.48</v>
      </c>
      <c r="F33" s="34">
        <v>43542</v>
      </c>
    </row>
    <row r="34" spans="1:6" ht="15.75" x14ac:dyDescent="0.25">
      <c r="A34" s="35">
        <v>526712</v>
      </c>
      <c r="B34" s="35" t="s">
        <v>14</v>
      </c>
      <c r="C34" s="35" t="s">
        <v>14</v>
      </c>
      <c r="D34" s="35" t="s">
        <v>1803</v>
      </c>
      <c r="E34" s="35">
        <v>-170</v>
      </c>
      <c r="F34" s="34">
        <v>43542</v>
      </c>
    </row>
    <row r="35" spans="1:6" ht="15.75" x14ac:dyDescent="0.25">
      <c r="A35" s="35">
        <v>526712</v>
      </c>
      <c r="B35" s="35" t="s">
        <v>14</v>
      </c>
      <c r="C35" s="35" t="s">
        <v>14</v>
      </c>
      <c r="D35" s="35" t="s">
        <v>1803</v>
      </c>
      <c r="E35" s="35">
        <v>-169.56</v>
      </c>
      <c r="F35" s="34">
        <v>43542</v>
      </c>
    </row>
    <row r="36" spans="1:6" ht="15.75" x14ac:dyDescent="0.25">
      <c r="A36" s="35">
        <v>526712</v>
      </c>
      <c r="B36" s="35" t="s">
        <v>14</v>
      </c>
      <c r="C36" s="35" t="s">
        <v>14</v>
      </c>
      <c r="D36" s="35" t="s">
        <v>1803</v>
      </c>
      <c r="E36" s="35">
        <v>-168.64</v>
      </c>
      <c r="F36" s="34">
        <v>43542</v>
      </c>
    </row>
    <row r="37" spans="1:6" ht="15.75" x14ac:dyDescent="0.25">
      <c r="A37" s="35">
        <v>526712</v>
      </c>
      <c r="B37" s="35" t="s">
        <v>14</v>
      </c>
      <c r="C37" s="35" t="s">
        <v>14</v>
      </c>
      <c r="D37" s="35" t="s">
        <v>1803</v>
      </c>
      <c r="E37" s="35">
        <v>-167.28</v>
      </c>
      <c r="F37" s="34">
        <v>43542</v>
      </c>
    </row>
    <row r="38" spans="1:6" ht="15.75" x14ac:dyDescent="0.25">
      <c r="A38" s="35">
        <v>526712</v>
      </c>
      <c r="B38" s="35" t="s">
        <v>14</v>
      </c>
      <c r="C38" s="35" t="s">
        <v>14</v>
      </c>
      <c r="D38" s="35" t="s">
        <v>1803</v>
      </c>
      <c r="E38" s="35">
        <v>-166.5</v>
      </c>
      <c r="F38" s="34">
        <v>43542</v>
      </c>
    </row>
    <row r="39" spans="1:6" ht="15.75" x14ac:dyDescent="0.25">
      <c r="A39" s="35">
        <v>526712</v>
      </c>
      <c r="B39" s="35" t="s">
        <v>14</v>
      </c>
      <c r="C39" s="35" t="s">
        <v>14</v>
      </c>
      <c r="D39" s="35" t="s">
        <v>1803</v>
      </c>
      <c r="E39" s="35">
        <v>-165.48</v>
      </c>
      <c r="F39" s="34">
        <v>43542</v>
      </c>
    </row>
    <row r="40" spans="1:6" ht="15.75" x14ac:dyDescent="0.25">
      <c r="A40" s="35">
        <v>526712</v>
      </c>
      <c r="B40" s="35" t="s">
        <v>14</v>
      </c>
      <c r="C40" s="35" t="s">
        <v>14</v>
      </c>
      <c r="D40" s="35" t="s">
        <v>1803</v>
      </c>
      <c r="E40" s="35">
        <v>-165.48</v>
      </c>
      <c r="F40" s="34">
        <v>43542</v>
      </c>
    </row>
    <row r="41" spans="1:6" ht="15.75" x14ac:dyDescent="0.25">
      <c r="A41" s="35">
        <v>526712</v>
      </c>
      <c r="B41" s="35" t="s">
        <v>14</v>
      </c>
      <c r="C41" s="35" t="s">
        <v>14</v>
      </c>
      <c r="D41" s="35" t="s">
        <v>1803</v>
      </c>
      <c r="E41" s="35">
        <v>-158.34</v>
      </c>
      <c r="F41" s="34">
        <v>43542</v>
      </c>
    </row>
    <row r="42" spans="1:6" ht="15.75" x14ac:dyDescent="0.25">
      <c r="A42" s="35">
        <v>526712</v>
      </c>
      <c r="B42" s="35" t="s">
        <v>14</v>
      </c>
      <c r="C42" s="35" t="s">
        <v>14</v>
      </c>
      <c r="D42" s="35" t="s">
        <v>1803</v>
      </c>
      <c r="E42" s="35">
        <v>-154.94</v>
      </c>
      <c r="F42" s="34">
        <v>43542</v>
      </c>
    </row>
    <row r="43" spans="1:6" ht="15.75" x14ac:dyDescent="0.25">
      <c r="A43" s="35">
        <v>526712</v>
      </c>
      <c r="B43" s="35" t="s">
        <v>14</v>
      </c>
      <c r="C43" s="35" t="s">
        <v>14</v>
      </c>
      <c r="D43" s="35" t="s">
        <v>1803</v>
      </c>
      <c r="E43" s="35">
        <v>-154.36000000000001</v>
      </c>
      <c r="F43" s="34">
        <v>43542</v>
      </c>
    </row>
    <row r="44" spans="1:6" ht="15.75" x14ac:dyDescent="0.25">
      <c r="A44" s="35">
        <v>526712</v>
      </c>
      <c r="B44" s="35" t="s">
        <v>14</v>
      </c>
      <c r="C44" s="35" t="s">
        <v>14</v>
      </c>
      <c r="D44" s="35" t="s">
        <v>1803</v>
      </c>
      <c r="E44" s="35">
        <v>-153.24</v>
      </c>
      <c r="F44" s="34">
        <v>43542</v>
      </c>
    </row>
    <row r="45" spans="1:6" ht="15.75" x14ac:dyDescent="0.25">
      <c r="A45" s="35">
        <v>526712</v>
      </c>
      <c r="B45" s="35" t="s">
        <v>14</v>
      </c>
      <c r="C45" s="35" t="s">
        <v>14</v>
      </c>
      <c r="D45" s="35" t="s">
        <v>1803</v>
      </c>
      <c r="E45" s="35">
        <v>-152.32</v>
      </c>
      <c r="F45" s="34">
        <v>43542</v>
      </c>
    </row>
    <row r="46" spans="1:6" ht="15.75" x14ac:dyDescent="0.25">
      <c r="A46" s="35">
        <v>526712</v>
      </c>
      <c r="B46" s="35" t="s">
        <v>14</v>
      </c>
      <c r="C46" s="35" t="s">
        <v>14</v>
      </c>
      <c r="D46" s="35" t="s">
        <v>1803</v>
      </c>
      <c r="E46" s="35">
        <v>-152.22</v>
      </c>
      <c r="F46" s="34">
        <v>43542</v>
      </c>
    </row>
    <row r="47" spans="1:6" ht="15.75" x14ac:dyDescent="0.25">
      <c r="A47" s="35">
        <v>526712</v>
      </c>
      <c r="B47" s="35" t="s">
        <v>14</v>
      </c>
      <c r="C47" s="35" t="s">
        <v>14</v>
      </c>
      <c r="D47" s="35" t="s">
        <v>1803</v>
      </c>
      <c r="E47" s="35">
        <v>-151.88</v>
      </c>
      <c r="F47" s="34">
        <v>43542</v>
      </c>
    </row>
    <row r="48" spans="1:6" ht="15.75" x14ac:dyDescent="0.25">
      <c r="A48" s="35">
        <v>526712</v>
      </c>
      <c r="B48" s="35" t="s">
        <v>14</v>
      </c>
      <c r="C48" s="35" t="s">
        <v>14</v>
      </c>
      <c r="D48" s="35" t="s">
        <v>1803</v>
      </c>
      <c r="E48" s="35">
        <v>-151.80000000000001</v>
      </c>
      <c r="F48" s="34">
        <v>43542</v>
      </c>
    </row>
    <row r="49" spans="1:6" ht="15.75" x14ac:dyDescent="0.25">
      <c r="A49" s="35">
        <v>526712</v>
      </c>
      <c r="B49" s="35" t="s">
        <v>14</v>
      </c>
      <c r="C49" s="35" t="s">
        <v>14</v>
      </c>
      <c r="D49" s="35" t="s">
        <v>1803</v>
      </c>
      <c r="E49" s="35">
        <v>-151.63999999999999</v>
      </c>
      <c r="F49" s="34">
        <v>43542</v>
      </c>
    </row>
    <row r="50" spans="1:6" ht="15.75" x14ac:dyDescent="0.25">
      <c r="A50" s="35">
        <v>526712</v>
      </c>
      <c r="B50" s="35" t="s">
        <v>14</v>
      </c>
      <c r="C50" s="35" t="s">
        <v>14</v>
      </c>
      <c r="D50" s="35" t="s">
        <v>1803</v>
      </c>
      <c r="E50" s="35">
        <v>-150.18</v>
      </c>
      <c r="F50" s="34">
        <v>43542</v>
      </c>
    </row>
    <row r="51" spans="1:6" ht="15.75" x14ac:dyDescent="0.25">
      <c r="A51" s="35">
        <v>526712</v>
      </c>
      <c r="B51" s="35" t="s">
        <v>14</v>
      </c>
      <c r="C51" s="35" t="s">
        <v>14</v>
      </c>
      <c r="D51" s="35" t="s">
        <v>1803</v>
      </c>
      <c r="E51" s="35">
        <v>-149.16</v>
      </c>
      <c r="F51" s="34">
        <v>43542</v>
      </c>
    </row>
    <row r="52" spans="1:6" ht="15.75" x14ac:dyDescent="0.25">
      <c r="A52" s="35">
        <v>526712</v>
      </c>
      <c r="B52" s="35" t="s">
        <v>14</v>
      </c>
      <c r="C52" s="35" t="s">
        <v>14</v>
      </c>
      <c r="D52" s="35" t="s">
        <v>1803</v>
      </c>
      <c r="E52" s="35">
        <v>-149.16</v>
      </c>
      <c r="F52" s="34">
        <v>43542</v>
      </c>
    </row>
    <row r="53" spans="1:6" ht="15.75" x14ac:dyDescent="0.25">
      <c r="A53" s="35">
        <v>526712</v>
      </c>
      <c r="B53" s="35" t="s">
        <v>14</v>
      </c>
      <c r="C53" s="35" t="s">
        <v>14</v>
      </c>
      <c r="D53" s="35" t="s">
        <v>1803</v>
      </c>
      <c r="E53" s="35">
        <v>-147.84</v>
      </c>
      <c r="F53" s="34">
        <v>43542</v>
      </c>
    </row>
    <row r="54" spans="1:6" ht="15.75" x14ac:dyDescent="0.25">
      <c r="A54" s="35">
        <v>526712</v>
      </c>
      <c r="B54" s="35" t="s">
        <v>14</v>
      </c>
      <c r="C54" s="35" t="s">
        <v>14</v>
      </c>
      <c r="D54" s="35" t="s">
        <v>1803</v>
      </c>
      <c r="E54" s="35">
        <v>-147.80000000000001</v>
      </c>
      <c r="F54" s="34">
        <v>43542</v>
      </c>
    </row>
    <row r="55" spans="1:6" ht="15.75" x14ac:dyDescent="0.25">
      <c r="A55" s="35">
        <v>526712</v>
      </c>
      <c r="B55" s="35" t="s">
        <v>14</v>
      </c>
      <c r="C55" s="35" t="s">
        <v>14</v>
      </c>
      <c r="D55" s="35" t="s">
        <v>1803</v>
      </c>
      <c r="E55" s="35">
        <v>-143.38</v>
      </c>
      <c r="F55" s="34">
        <v>43542</v>
      </c>
    </row>
    <row r="56" spans="1:6" ht="15.75" x14ac:dyDescent="0.25">
      <c r="A56" s="35">
        <v>526712</v>
      </c>
      <c r="B56" s="35" t="s">
        <v>14</v>
      </c>
      <c r="C56" s="35" t="s">
        <v>14</v>
      </c>
      <c r="D56" s="35" t="s">
        <v>1803</v>
      </c>
      <c r="E56" s="35">
        <v>-143.38</v>
      </c>
      <c r="F56" s="34">
        <v>43542</v>
      </c>
    </row>
    <row r="57" spans="1:6" ht="15.75" x14ac:dyDescent="0.25">
      <c r="A57" s="35">
        <v>526712</v>
      </c>
      <c r="B57" s="35" t="s">
        <v>14</v>
      </c>
      <c r="C57" s="35" t="s">
        <v>14</v>
      </c>
      <c r="D57" s="35" t="s">
        <v>1803</v>
      </c>
      <c r="E57" s="35">
        <v>-142.69999999999999</v>
      </c>
      <c r="F57" s="34">
        <v>43542</v>
      </c>
    </row>
    <row r="58" spans="1:6" ht="15.75" x14ac:dyDescent="0.25">
      <c r="A58" s="35">
        <v>526712</v>
      </c>
      <c r="B58" s="35" t="s">
        <v>14</v>
      </c>
      <c r="C58" s="35" t="s">
        <v>14</v>
      </c>
      <c r="D58" s="35" t="s">
        <v>1803</v>
      </c>
      <c r="E58" s="35">
        <v>-142.12</v>
      </c>
      <c r="F58" s="34">
        <v>43542</v>
      </c>
    </row>
    <row r="59" spans="1:6" ht="15.75" x14ac:dyDescent="0.25">
      <c r="A59" s="35">
        <v>526712</v>
      </c>
      <c r="B59" s="35" t="s">
        <v>14</v>
      </c>
      <c r="C59" s="35" t="s">
        <v>14</v>
      </c>
      <c r="D59" s="35" t="s">
        <v>1803</v>
      </c>
      <c r="E59" s="35">
        <v>-142.02000000000001</v>
      </c>
      <c r="F59" s="34">
        <v>43542</v>
      </c>
    </row>
    <row r="60" spans="1:6" ht="15.75" x14ac:dyDescent="0.25">
      <c r="A60" s="35">
        <v>526712</v>
      </c>
      <c r="B60" s="35" t="s">
        <v>14</v>
      </c>
      <c r="C60" s="35" t="s">
        <v>14</v>
      </c>
      <c r="D60" s="35" t="s">
        <v>1803</v>
      </c>
      <c r="E60" s="35">
        <v>-141.68</v>
      </c>
      <c r="F60" s="34">
        <v>43542</v>
      </c>
    </row>
    <row r="61" spans="1:6" ht="15.75" x14ac:dyDescent="0.25">
      <c r="A61" s="35">
        <v>526712</v>
      </c>
      <c r="B61" s="35" t="s">
        <v>14</v>
      </c>
      <c r="C61" s="35" t="s">
        <v>14</v>
      </c>
      <c r="D61" s="35" t="s">
        <v>1803</v>
      </c>
      <c r="E61" s="35">
        <v>-141.68</v>
      </c>
      <c r="F61" s="34">
        <v>43542</v>
      </c>
    </row>
    <row r="62" spans="1:6" ht="15.75" x14ac:dyDescent="0.25">
      <c r="A62" s="35">
        <v>526712</v>
      </c>
      <c r="B62" s="35" t="s">
        <v>14</v>
      </c>
      <c r="C62" s="35" t="s">
        <v>14</v>
      </c>
      <c r="D62" s="35" t="s">
        <v>1803</v>
      </c>
      <c r="E62" s="35">
        <v>-141.34</v>
      </c>
      <c r="F62" s="34">
        <v>43542</v>
      </c>
    </row>
    <row r="63" spans="1:6" ht="15.75" x14ac:dyDescent="0.25">
      <c r="A63" s="35">
        <v>526712</v>
      </c>
      <c r="B63" s="35" t="s">
        <v>14</v>
      </c>
      <c r="C63" s="35" t="s">
        <v>14</v>
      </c>
      <c r="D63" s="35" t="s">
        <v>1803</v>
      </c>
      <c r="E63" s="35">
        <v>-140.76</v>
      </c>
      <c r="F63" s="34">
        <v>43542</v>
      </c>
    </row>
    <row r="64" spans="1:6" ht="15.75" x14ac:dyDescent="0.25">
      <c r="A64" s="35">
        <v>526712</v>
      </c>
      <c r="B64" s="35" t="s">
        <v>14</v>
      </c>
      <c r="C64" s="35" t="s">
        <v>14</v>
      </c>
      <c r="D64" s="35" t="s">
        <v>1803</v>
      </c>
      <c r="E64" s="35">
        <v>-138.62</v>
      </c>
      <c r="F64" s="34">
        <v>43542</v>
      </c>
    </row>
    <row r="65" spans="1:6" ht="15.75" x14ac:dyDescent="0.25">
      <c r="A65" s="35">
        <v>526712</v>
      </c>
      <c r="B65" s="35" t="s">
        <v>14</v>
      </c>
      <c r="C65" s="35" t="s">
        <v>14</v>
      </c>
      <c r="D65" s="35" t="s">
        <v>1803</v>
      </c>
      <c r="E65" s="35">
        <v>-136.24</v>
      </c>
      <c r="F65" s="34">
        <v>43542</v>
      </c>
    </row>
    <row r="66" spans="1:6" ht="15.75" x14ac:dyDescent="0.25">
      <c r="A66" s="35">
        <v>526712</v>
      </c>
      <c r="B66" s="35" t="s">
        <v>14</v>
      </c>
      <c r="C66" s="35" t="s">
        <v>14</v>
      </c>
      <c r="D66" s="35" t="s">
        <v>1803</v>
      </c>
      <c r="E66" s="35">
        <v>-136.24</v>
      </c>
      <c r="F66" s="34">
        <v>43542</v>
      </c>
    </row>
    <row r="67" spans="1:6" ht="15.75" x14ac:dyDescent="0.25">
      <c r="A67" s="35">
        <v>526712</v>
      </c>
      <c r="B67" s="35" t="s">
        <v>14</v>
      </c>
      <c r="C67" s="35" t="s">
        <v>14</v>
      </c>
      <c r="D67" s="35" t="s">
        <v>1803</v>
      </c>
      <c r="E67" s="35">
        <v>-134.63999999999999</v>
      </c>
      <c r="F67" s="34">
        <v>43542</v>
      </c>
    </row>
    <row r="68" spans="1:6" ht="15.75" x14ac:dyDescent="0.25">
      <c r="A68" s="35">
        <v>526712</v>
      </c>
      <c r="B68" s="35" t="s">
        <v>14</v>
      </c>
      <c r="C68" s="35" t="s">
        <v>14</v>
      </c>
      <c r="D68" s="35" t="s">
        <v>1803</v>
      </c>
      <c r="E68" s="35">
        <v>-133.28</v>
      </c>
      <c r="F68" s="34">
        <v>43542</v>
      </c>
    </row>
    <row r="69" spans="1:6" ht="15.75" x14ac:dyDescent="0.25">
      <c r="A69" s="35">
        <v>526712</v>
      </c>
      <c r="B69" s="35" t="s">
        <v>14</v>
      </c>
      <c r="C69" s="35" t="s">
        <v>14</v>
      </c>
      <c r="D69" s="35" t="s">
        <v>1803</v>
      </c>
      <c r="E69" s="35">
        <v>-133.28</v>
      </c>
      <c r="F69" s="34">
        <v>43542</v>
      </c>
    </row>
    <row r="70" spans="1:6" ht="15.75" x14ac:dyDescent="0.25">
      <c r="A70" s="35">
        <v>526712</v>
      </c>
      <c r="B70" s="35" t="s">
        <v>14</v>
      </c>
      <c r="C70" s="35" t="s">
        <v>14</v>
      </c>
      <c r="D70" s="35" t="s">
        <v>1803</v>
      </c>
      <c r="E70" s="35">
        <v>-131.82</v>
      </c>
      <c r="F70" s="34">
        <v>43542</v>
      </c>
    </row>
    <row r="71" spans="1:6" ht="15.75" x14ac:dyDescent="0.25">
      <c r="A71" s="35">
        <v>526712</v>
      </c>
      <c r="B71" s="35" t="s">
        <v>14</v>
      </c>
      <c r="C71" s="35" t="s">
        <v>14</v>
      </c>
      <c r="D71" s="35" t="s">
        <v>1803</v>
      </c>
      <c r="E71" s="35">
        <v>-130.12</v>
      </c>
      <c r="F71" s="34">
        <v>43542</v>
      </c>
    </row>
    <row r="72" spans="1:6" ht="15.75" x14ac:dyDescent="0.25">
      <c r="A72" s="35">
        <v>526712</v>
      </c>
      <c r="B72" s="35" t="s">
        <v>14</v>
      </c>
      <c r="C72" s="35" t="s">
        <v>14</v>
      </c>
      <c r="D72" s="35" t="s">
        <v>1803</v>
      </c>
      <c r="E72" s="35">
        <v>-130.12</v>
      </c>
      <c r="F72" s="34">
        <v>43542</v>
      </c>
    </row>
    <row r="73" spans="1:6" ht="15.75" x14ac:dyDescent="0.25">
      <c r="A73" s="35">
        <v>526712</v>
      </c>
      <c r="B73" s="35" t="s">
        <v>14</v>
      </c>
      <c r="C73" s="35" t="s">
        <v>14</v>
      </c>
      <c r="D73" s="35" t="s">
        <v>1803</v>
      </c>
      <c r="E73" s="35">
        <v>-130.12</v>
      </c>
      <c r="F73" s="34">
        <v>43542</v>
      </c>
    </row>
    <row r="74" spans="1:6" ht="15.75" x14ac:dyDescent="0.25">
      <c r="A74" s="35">
        <v>526712</v>
      </c>
      <c r="B74" s="35" t="s">
        <v>14</v>
      </c>
      <c r="C74" s="35" t="s">
        <v>14</v>
      </c>
      <c r="D74" s="35" t="s">
        <v>1803</v>
      </c>
      <c r="E74" s="35">
        <v>-130.12</v>
      </c>
      <c r="F74" s="34">
        <v>43542</v>
      </c>
    </row>
    <row r="75" spans="1:6" ht="15.75" x14ac:dyDescent="0.25">
      <c r="A75" s="35">
        <v>526712</v>
      </c>
      <c r="B75" s="35" t="s">
        <v>14</v>
      </c>
      <c r="C75" s="35" t="s">
        <v>14</v>
      </c>
      <c r="D75" s="35" t="s">
        <v>1803</v>
      </c>
      <c r="E75" s="35">
        <v>-130.12</v>
      </c>
      <c r="F75" s="34">
        <v>43542</v>
      </c>
    </row>
    <row r="76" spans="1:6" ht="15.75" x14ac:dyDescent="0.25">
      <c r="A76" s="35">
        <v>526712</v>
      </c>
      <c r="B76" s="35" t="s">
        <v>14</v>
      </c>
      <c r="C76" s="35" t="s">
        <v>14</v>
      </c>
      <c r="D76" s="35" t="s">
        <v>1803</v>
      </c>
      <c r="E76" s="35">
        <v>-130.12</v>
      </c>
      <c r="F76" s="34">
        <v>43542</v>
      </c>
    </row>
    <row r="77" spans="1:6" ht="15.75" x14ac:dyDescent="0.25">
      <c r="A77" s="35">
        <v>526712</v>
      </c>
      <c r="B77" s="35" t="s">
        <v>14</v>
      </c>
      <c r="C77" s="35" t="s">
        <v>14</v>
      </c>
      <c r="D77" s="35" t="s">
        <v>1803</v>
      </c>
      <c r="E77" s="35">
        <v>-130.12</v>
      </c>
      <c r="F77" s="34">
        <v>43542</v>
      </c>
    </row>
    <row r="78" spans="1:6" ht="15.75" x14ac:dyDescent="0.25">
      <c r="A78" s="35">
        <v>526712</v>
      </c>
      <c r="B78" s="35" t="s">
        <v>14</v>
      </c>
      <c r="C78" s="35" t="s">
        <v>14</v>
      </c>
      <c r="D78" s="35" t="s">
        <v>1803</v>
      </c>
      <c r="E78" s="35">
        <v>-130.12</v>
      </c>
      <c r="F78" s="34">
        <v>43542</v>
      </c>
    </row>
    <row r="79" spans="1:6" ht="15.75" x14ac:dyDescent="0.25">
      <c r="A79" s="35">
        <v>526712</v>
      </c>
      <c r="B79" s="35" t="s">
        <v>14</v>
      </c>
      <c r="C79" s="35" t="s">
        <v>14</v>
      </c>
      <c r="D79" s="35" t="s">
        <v>1803</v>
      </c>
      <c r="E79" s="35">
        <v>-130.12</v>
      </c>
      <c r="F79" s="34">
        <v>43542</v>
      </c>
    </row>
    <row r="80" spans="1:6" ht="15.75" x14ac:dyDescent="0.25">
      <c r="A80" s="35">
        <v>526712</v>
      </c>
      <c r="B80" s="35" t="s">
        <v>14</v>
      </c>
      <c r="C80" s="35" t="s">
        <v>14</v>
      </c>
      <c r="D80" s="35" t="s">
        <v>1803</v>
      </c>
      <c r="E80" s="35">
        <v>-129.78</v>
      </c>
      <c r="F80" s="34">
        <v>43542</v>
      </c>
    </row>
    <row r="81" spans="1:6" ht="15.75" x14ac:dyDescent="0.25">
      <c r="A81" s="35">
        <v>526712</v>
      </c>
      <c r="B81" s="35" t="s">
        <v>14</v>
      </c>
      <c r="C81" s="35" t="s">
        <v>14</v>
      </c>
      <c r="D81" s="35" t="s">
        <v>1803</v>
      </c>
      <c r="E81" s="35">
        <v>-129.44</v>
      </c>
      <c r="F81" s="34">
        <v>43542</v>
      </c>
    </row>
    <row r="82" spans="1:6" ht="15.75" x14ac:dyDescent="0.25">
      <c r="A82" s="35">
        <v>526712</v>
      </c>
      <c r="B82" s="35" t="s">
        <v>14</v>
      </c>
      <c r="C82" s="35" t="s">
        <v>14</v>
      </c>
      <c r="D82" s="35" t="s">
        <v>1803</v>
      </c>
      <c r="E82" s="35">
        <v>-128.76</v>
      </c>
      <c r="F82" s="34">
        <v>43542</v>
      </c>
    </row>
    <row r="83" spans="1:6" ht="15.75" x14ac:dyDescent="0.25">
      <c r="A83" s="35">
        <v>526712</v>
      </c>
      <c r="B83" s="35" t="s">
        <v>14</v>
      </c>
      <c r="C83" s="35" t="s">
        <v>14</v>
      </c>
      <c r="D83" s="35" t="s">
        <v>1803</v>
      </c>
      <c r="E83" s="35">
        <v>-128.69999999999999</v>
      </c>
      <c r="F83" s="34">
        <v>43542</v>
      </c>
    </row>
    <row r="84" spans="1:6" ht="15.75" x14ac:dyDescent="0.25">
      <c r="A84" s="35">
        <v>526712</v>
      </c>
      <c r="B84" s="35" t="s">
        <v>14</v>
      </c>
      <c r="C84" s="35" t="s">
        <v>14</v>
      </c>
      <c r="D84" s="35" t="s">
        <v>1803</v>
      </c>
      <c r="E84" s="35">
        <v>-128.69999999999999</v>
      </c>
      <c r="F84" s="34">
        <v>43542</v>
      </c>
    </row>
    <row r="85" spans="1:6" ht="15.75" x14ac:dyDescent="0.25">
      <c r="A85" s="35">
        <v>526712</v>
      </c>
      <c r="B85" s="35" t="s">
        <v>14</v>
      </c>
      <c r="C85" s="35" t="s">
        <v>14</v>
      </c>
      <c r="D85" s="35" t="s">
        <v>1803</v>
      </c>
      <c r="E85" s="35">
        <v>-128.41999999999999</v>
      </c>
      <c r="F85" s="34">
        <v>43542</v>
      </c>
    </row>
    <row r="86" spans="1:6" ht="15.75" x14ac:dyDescent="0.25">
      <c r="A86" s="35">
        <v>526712</v>
      </c>
      <c r="B86" s="35" t="s">
        <v>14</v>
      </c>
      <c r="C86" s="35" t="s">
        <v>14</v>
      </c>
      <c r="D86" s="35" t="s">
        <v>1803</v>
      </c>
      <c r="E86" s="35">
        <v>-128.41999999999999</v>
      </c>
      <c r="F86" s="34">
        <v>43542</v>
      </c>
    </row>
    <row r="87" spans="1:6" ht="15.75" x14ac:dyDescent="0.25">
      <c r="A87" s="35">
        <v>526712</v>
      </c>
      <c r="B87" s="35" t="s">
        <v>14</v>
      </c>
      <c r="C87" s="35" t="s">
        <v>14</v>
      </c>
      <c r="D87" s="35" t="s">
        <v>1803</v>
      </c>
      <c r="E87" s="35">
        <v>-126.38</v>
      </c>
      <c r="F87" s="34">
        <v>43542</v>
      </c>
    </row>
    <row r="88" spans="1:6" ht="15.75" x14ac:dyDescent="0.25">
      <c r="A88" s="35">
        <v>526712</v>
      </c>
      <c r="B88" s="35" t="s">
        <v>14</v>
      </c>
      <c r="C88" s="35" t="s">
        <v>14</v>
      </c>
      <c r="D88" s="35" t="s">
        <v>1803</v>
      </c>
      <c r="E88" s="35">
        <v>-126.38</v>
      </c>
      <c r="F88" s="34">
        <v>43542</v>
      </c>
    </row>
    <row r="89" spans="1:6" ht="15.75" x14ac:dyDescent="0.25">
      <c r="A89" s="35">
        <v>526712</v>
      </c>
      <c r="B89" s="35" t="s">
        <v>14</v>
      </c>
      <c r="C89" s="35" t="s">
        <v>14</v>
      </c>
      <c r="D89" s="35" t="s">
        <v>1803</v>
      </c>
      <c r="E89" s="35">
        <v>-126.38</v>
      </c>
      <c r="F89" s="34">
        <v>43542</v>
      </c>
    </row>
    <row r="90" spans="1:6" ht="15.75" x14ac:dyDescent="0.25">
      <c r="A90" s="35">
        <v>526712</v>
      </c>
      <c r="B90" s="35" t="s">
        <v>14</v>
      </c>
      <c r="C90" s="35" t="s">
        <v>14</v>
      </c>
      <c r="D90" s="35" t="s">
        <v>1803</v>
      </c>
      <c r="E90" s="35">
        <v>-125.36</v>
      </c>
      <c r="F90" s="34">
        <v>43542</v>
      </c>
    </row>
    <row r="91" spans="1:6" ht="15.75" x14ac:dyDescent="0.25">
      <c r="A91" s="35">
        <v>526712</v>
      </c>
      <c r="B91" s="35" t="s">
        <v>14</v>
      </c>
      <c r="C91" s="35" t="s">
        <v>14</v>
      </c>
      <c r="D91" s="35" t="s">
        <v>1803</v>
      </c>
      <c r="E91" s="35">
        <v>-125.36</v>
      </c>
      <c r="F91" s="34">
        <v>43542</v>
      </c>
    </row>
    <row r="92" spans="1:6" ht="15.75" x14ac:dyDescent="0.25">
      <c r="A92" s="35">
        <v>526712</v>
      </c>
      <c r="B92" s="35" t="s">
        <v>14</v>
      </c>
      <c r="C92" s="35" t="s">
        <v>14</v>
      </c>
      <c r="D92" s="35" t="s">
        <v>1803</v>
      </c>
      <c r="E92" s="35">
        <v>-125.36</v>
      </c>
      <c r="F92" s="34">
        <v>43542</v>
      </c>
    </row>
    <row r="93" spans="1:6" ht="15.75" x14ac:dyDescent="0.25">
      <c r="A93" s="35">
        <v>526712</v>
      </c>
      <c r="B93" s="35" t="s">
        <v>14</v>
      </c>
      <c r="C93" s="35" t="s">
        <v>14</v>
      </c>
      <c r="D93" s="35" t="s">
        <v>1803</v>
      </c>
      <c r="E93" s="35">
        <v>-125.02</v>
      </c>
      <c r="F93" s="34">
        <v>43542</v>
      </c>
    </row>
    <row r="94" spans="1:6" ht="15.75" x14ac:dyDescent="0.25">
      <c r="A94" s="35">
        <v>526712</v>
      </c>
      <c r="B94" s="35" t="s">
        <v>14</v>
      </c>
      <c r="C94" s="35" t="s">
        <v>14</v>
      </c>
      <c r="D94" s="35" t="s">
        <v>1803</v>
      </c>
      <c r="E94" s="35">
        <v>-124.34</v>
      </c>
      <c r="F94" s="34">
        <v>43542</v>
      </c>
    </row>
    <row r="95" spans="1:6" ht="15.75" x14ac:dyDescent="0.25">
      <c r="A95" s="35">
        <v>526712</v>
      </c>
      <c r="B95" s="35" t="s">
        <v>14</v>
      </c>
      <c r="C95" s="35" t="s">
        <v>14</v>
      </c>
      <c r="D95" s="35" t="s">
        <v>1803</v>
      </c>
      <c r="E95" s="35">
        <v>-124.34</v>
      </c>
      <c r="F95" s="34">
        <v>43542</v>
      </c>
    </row>
    <row r="96" spans="1:6" ht="15.75" x14ac:dyDescent="0.25">
      <c r="A96" s="35">
        <v>526712</v>
      </c>
      <c r="B96" s="35" t="s">
        <v>14</v>
      </c>
      <c r="C96" s="35" t="s">
        <v>14</v>
      </c>
      <c r="D96" s="35" t="s">
        <v>1803</v>
      </c>
      <c r="E96" s="35">
        <v>-123.66</v>
      </c>
      <c r="F96" s="34">
        <v>43542</v>
      </c>
    </row>
    <row r="97" spans="1:6" ht="15.75" x14ac:dyDescent="0.25">
      <c r="A97" s="35">
        <v>526712</v>
      </c>
      <c r="B97" s="35" t="s">
        <v>14</v>
      </c>
      <c r="C97" s="35" t="s">
        <v>14</v>
      </c>
      <c r="D97" s="35" t="s">
        <v>1803</v>
      </c>
      <c r="E97" s="35">
        <v>-122.98</v>
      </c>
      <c r="F97" s="34">
        <v>43542</v>
      </c>
    </row>
    <row r="98" spans="1:6" ht="15.75" x14ac:dyDescent="0.25">
      <c r="A98" s="35">
        <v>526712</v>
      </c>
      <c r="B98" s="35" t="s">
        <v>14</v>
      </c>
      <c r="C98" s="35" t="s">
        <v>14</v>
      </c>
      <c r="D98" s="35" t="s">
        <v>1803</v>
      </c>
      <c r="E98" s="35">
        <v>-122.76</v>
      </c>
      <c r="F98" s="34">
        <v>43542</v>
      </c>
    </row>
    <row r="99" spans="1:6" ht="15.75" x14ac:dyDescent="0.25">
      <c r="A99" s="35">
        <v>526712</v>
      </c>
      <c r="B99" s="35" t="s">
        <v>14</v>
      </c>
      <c r="C99" s="35" t="s">
        <v>14</v>
      </c>
      <c r="D99" s="35" t="s">
        <v>1803</v>
      </c>
      <c r="E99" s="35">
        <v>-121.64</v>
      </c>
      <c r="F99" s="34">
        <v>43542</v>
      </c>
    </row>
    <row r="100" spans="1:6" ht="15.75" x14ac:dyDescent="0.25">
      <c r="A100" s="35">
        <v>526712</v>
      </c>
      <c r="B100" s="35" t="s">
        <v>14</v>
      </c>
      <c r="C100" s="35" t="s">
        <v>14</v>
      </c>
      <c r="D100" s="35" t="s">
        <v>1803</v>
      </c>
      <c r="E100" s="35">
        <v>-121.62</v>
      </c>
      <c r="F100" s="34">
        <v>43542</v>
      </c>
    </row>
    <row r="101" spans="1:6" ht="15.75" x14ac:dyDescent="0.25">
      <c r="A101" s="35">
        <v>526712</v>
      </c>
      <c r="B101" s="35" t="s">
        <v>14</v>
      </c>
      <c r="C101" s="35" t="s">
        <v>14</v>
      </c>
      <c r="D101" s="35" t="s">
        <v>1803</v>
      </c>
      <c r="E101" s="35">
        <v>-121.28</v>
      </c>
      <c r="F101" s="34">
        <v>43542</v>
      </c>
    </row>
    <row r="102" spans="1:6" ht="15.75" x14ac:dyDescent="0.25">
      <c r="A102" s="35">
        <v>526712</v>
      </c>
      <c r="B102" s="35" t="s">
        <v>14</v>
      </c>
      <c r="C102" s="35" t="s">
        <v>14</v>
      </c>
      <c r="D102" s="35" t="s">
        <v>1803</v>
      </c>
      <c r="E102" s="35">
        <v>-119.58</v>
      </c>
      <c r="F102" s="34">
        <v>43542</v>
      </c>
    </row>
    <row r="103" spans="1:6" ht="15.75" x14ac:dyDescent="0.25">
      <c r="A103" s="35">
        <v>526712</v>
      </c>
      <c r="B103" s="35" t="s">
        <v>14</v>
      </c>
      <c r="C103" s="35" t="s">
        <v>14</v>
      </c>
      <c r="D103" s="35" t="s">
        <v>1803</v>
      </c>
      <c r="E103" s="35">
        <v>-119.58</v>
      </c>
      <c r="F103" s="34">
        <v>43542</v>
      </c>
    </row>
    <row r="104" spans="1:6" ht="15.75" x14ac:dyDescent="0.25">
      <c r="A104" s="35">
        <v>526712</v>
      </c>
      <c r="B104" s="35" t="s">
        <v>14</v>
      </c>
      <c r="C104" s="35" t="s">
        <v>14</v>
      </c>
      <c r="D104" s="35" t="s">
        <v>1803</v>
      </c>
      <c r="E104" s="35">
        <v>-119.24</v>
      </c>
      <c r="F104" s="34">
        <v>43542</v>
      </c>
    </row>
    <row r="105" spans="1:6" ht="15.75" x14ac:dyDescent="0.25">
      <c r="A105" s="35">
        <v>526712</v>
      </c>
      <c r="B105" s="35" t="s">
        <v>14</v>
      </c>
      <c r="C105" s="35" t="s">
        <v>14</v>
      </c>
      <c r="D105" s="35" t="s">
        <v>1803</v>
      </c>
      <c r="E105" s="35">
        <v>-118.22</v>
      </c>
      <c r="F105" s="34">
        <v>43542</v>
      </c>
    </row>
    <row r="106" spans="1:6" ht="15.75" x14ac:dyDescent="0.25">
      <c r="A106" s="35">
        <v>526712</v>
      </c>
      <c r="B106" s="35" t="s">
        <v>14</v>
      </c>
      <c r="C106" s="35" t="s">
        <v>14</v>
      </c>
      <c r="D106" s="35" t="s">
        <v>1803</v>
      </c>
      <c r="E106" s="35">
        <v>-118.22</v>
      </c>
      <c r="F106" s="34">
        <v>43542</v>
      </c>
    </row>
    <row r="107" spans="1:6" ht="15.75" x14ac:dyDescent="0.25">
      <c r="A107" s="35">
        <v>526712</v>
      </c>
      <c r="B107" s="35" t="s">
        <v>14</v>
      </c>
      <c r="C107" s="35" t="s">
        <v>14</v>
      </c>
      <c r="D107" s="35" t="s">
        <v>1803</v>
      </c>
      <c r="E107" s="35">
        <v>-118.14</v>
      </c>
      <c r="F107" s="34">
        <v>43542</v>
      </c>
    </row>
    <row r="108" spans="1:6" ht="15.75" x14ac:dyDescent="0.25">
      <c r="A108" s="35">
        <v>526712</v>
      </c>
      <c r="B108" s="35" t="s">
        <v>14</v>
      </c>
      <c r="C108" s="35" t="s">
        <v>14</v>
      </c>
      <c r="D108" s="35" t="s">
        <v>1803</v>
      </c>
      <c r="E108" s="35">
        <v>-117.88</v>
      </c>
      <c r="F108" s="34">
        <v>43542</v>
      </c>
    </row>
    <row r="109" spans="1:6" ht="15.75" x14ac:dyDescent="0.25">
      <c r="A109" s="35">
        <v>526712</v>
      </c>
      <c r="B109" s="35" t="s">
        <v>14</v>
      </c>
      <c r="C109" s="35" t="s">
        <v>14</v>
      </c>
      <c r="D109" s="35" t="s">
        <v>1803</v>
      </c>
      <c r="E109" s="35">
        <v>-117.88</v>
      </c>
      <c r="F109" s="34">
        <v>43542</v>
      </c>
    </row>
    <row r="110" spans="1:6" ht="15.75" x14ac:dyDescent="0.25">
      <c r="A110" s="35">
        <v>526712</v>
      </c>
      <c r="B110" s="35" t="s">
        <v>14</v>
      </c>
      <c r="C110" s="35" t="s">
        <v>14</v>
      </c>
      <c r="D110" s="35" t="s">
        <v>1803</v>
      </c>
      <c r="E110" s="35">
        <v>-117.88</v>
      </c>
      <c r="F110" s="34">
        <v>43542</v>
      </c>
    </row>
    <row r="111" spans="1:6" ht="15.75" x14ac:dyDescent="0.25">
      <c r="A111" s="35">
        <v>526712</v>
      </c>
      <c r="B111" s="35" t="s">
        <v>14</v>
      </c>
      <c r="C111" s="35" t="s">
        <v>14</v>
      </c>
      <c r="D111" s="35" t="s">
        <v>1803</v>
      </c>
      <c r="E111" s="35">
        <v>-117.54</v>
      </c>
      <c r="F111" s="34">
        <v>43542</v>
      </c>
    </row>
    <row r="112" spans="1:6" ht="15.75" x14ac:dyDescent="0.25">
      <c r="A112" s="35">
        <v>526712</v>
      </c>
      <c r="B112" s="35" t="s">
        <v>14</v>
      </c>
      <c r="C112" s="35" t="s">
        <v>14</v>
      </c>
      <c r="D112" s="35" t="s">
        <v>1803</v>
      </c>
      <c r="E112" s="35">
        <v>-115.84</v>
      </c>
      <c r="F112" s="34">
        <v>43542</v>
      </c>
    </row>
    <row r="113" spans="1:6" ht="15.75" x14ac:dyDescent="0.25">
      <c r="A113" s="35">
        <v>526712</v>
      </c>
      <c r="B113" s="35" t="s">
        <v>14</v>
      </c>
      <c r="C113" s="35" t="s">
        <v>14</v>
      </c>
      <c r="D113" s="35" t="s">
        <v>1803</v>
      </c>
      <c r="E113" s="35">
        <v>-114.82</v>
      </c>
      <c r="F113" s="34">
        <v>43542</v>
      </c>
    </row>
    <row r="114" spans="1:6" ht="15.75" x14ac:dyDescent="0.25">
      <c r="A114" s="35">
        <v>526712</v>
      </c>
      <c r="B114" s="35" t="s">
        <v>14</v>
      </c>
      <c r="C114" s="35" t="s">
        <v>14</v>
      </c>
      <c r="D114" s="35" t="s">
        <v>1803</v>
      </c>
      <c r="E114" s="35">
        <v>-114.24</v>
      </c>
      <c r="F114" s="34">
        <v>43542</v>
      </c>
    </row>
    <row r="115" spans="1:6" ht="15.75" x14ac:dyDescent="0.25">
      <c r="A115" s="35">
        <v>526712</v>
      </c>
      <c r="B115" s="35" t="s">
        <v>14</v>
      </c>
      <c r="C115" s="35" t="s">
        <v>14</v>
      </c>
      <c r="D115" s="35" t="s">
        <v>1803</v>
      </c>
      <c r="E115" s="35">
        <v>-113.8</v>
      </c>
      <c r="F115" s="34">
        <v>43542</v>
      </c>
    </row>
    <row r="116" spans="1:6" ht="15.75" x14ac:dyDescent="0.25">
      <c r="A116" s="35">
        <v>526712</v>
      </c>
      <c r="B116" s="35" t="s">
        <v>14</v>
      </c>
      <c r="C116" s="35" t="s">
        <v>14</v>
      </c>
      <c r="D116" s="35" t="s">
        <v>1803</v>
      </c>
      <c r="E116" s="35">
        <v>-113.56</v>
      </c>
      <c r="F116" s="34">
        <v>43542</v>
      </c>
    </row>
    <row r="117" spans="1:6" ht="15.75" x14ac:dyDescent="0.25">
      <c r="A117" s="35">
        <v>526712</v>
      </c>
      <c r="B117" s="35" t="s">
        <v>14</v>
      </c>
      <c r="C117" s="35" t="s">
        <v>14</v>
      </c>
      <c r="D117" s="35" t="s">
        <v>1803</v>
      </c>
      <c r="E117" s="35">
        <v>-113.56</v>
      </c>
      <c r="F117" s="34">
        <v>43542</v>
      </c>
    </row>
    <row r="118" spans="1:6" ht="15.75" x14ac:dyDescent="0.25">
      <c r="A118" s="35">
        <v>526712</v>
      </c>
      <c r="B118" s="35" t="s">
        <v>14</v>
      </c>
      <c r="C118" s="35" t="s">
        <v>14</v>
      </c>
      <c r="D118" s="35" t="s">
        <v>1803</v>
      </c>
      <c r="E118" s="35">
        <v>-113.52</v>
      </c>
      <c r="F118" s="34">
        <v>43542</v>
      </c>
    </row>
    <row r="119" spans="1:6" ht="15.75" x14ac:dyDescent="0.25">
      <c r="A119" s="35">
        <v>526712</v>
      </c>
      <c r="B119" s="35" t="s">
        <v>14</v>
      </c>
      <c r="C119" s="35" t="s">
        <v>14</v>
      </c>
      <c r="D119" s="35" t="s">
        <v>1803</v>
      </c>
      <c r="E119" s="35">
        <v>-113.12</v>
      </c>
      <c r="F119" s="34">
        <v>43542</v>
      </c>
    </row>
    <row r="120" spans="1:6" ht="15.75" x14ac:dyDescent="0.25">
      <c r="A120" s="35">
        <v>526712</v>
      </c>
      <c r="B120" s="35" t="s">
        <v>14</v>
      </c>
      <c r="C120" s="35" t="s">
        <v>14</v>
      </c>
      <c r="D120" s="35" t="s">
        <v>1803</v>
      </c>
      <c r="E120" s="35">
        <v>-113.12</v>
      </c>
      <c r="F120" s="34">
        <v>43542</v>
      </c>
    </row>
    <row r="121" spans="1:6" ht="15.75" x14ac:dyDescent="0.25">
      <c r="A121" s="35">
        <v>526712</v>
      </c>
      <c r="B121" s="35" t="s">
        <v>14</v>
      </c>
      <c r="C121" s="35" t="s">
        <v>14</v>
      </c>
      <c r="D121" s="35" t="s">
        <v>1803</v>
      </c>
      <c r="E121" s="35">
        <v>-112.88</v>
      </c>
      <c r="F121" s="34">
        <v>43542</v>
      </c>
    </row>
    <row r="122" spans="1:6" ht="15.75" x14ac:dyDescent="0.25">
      <c r="A122" s="35">
        <v>526712</v>
      </c>
      <c r="B122" s="35" t="s">
        <v>14</v>
      </c>
      <c r="C122" s="35" t="s">
        <v>14</v>
      </c>
      <c r="D122" s="35" t="s">
        <v>1803</v>
      </c>
      <c r="E122" s="35">
        <v>-112.78</v>
      </c>
      <c r="F122" s="34">
        <v>43542</v>
      </c>
    </row>
    <row r="123" spans="1:6" ht="15.75" x14ac:dyDescent="0.25">
      <c r="A123" s="35">
        <v>526712</v>
      </c>
      <c r="B123" s="35" t="s">
        <v>14</v>
      </c>
      <c r="C123" s="35" t="s">
        <v>14</v>
      </c>
      <c r="D123" s="35" t="s">
        <v>1803</v>
      </c>
      <c r="E123" s="35">
        <v>-112.44</v>
      </c>
      <c r="F123" s="34">
        <v>43542</v>
      </c>
    </row>
    <row r="124" spans="1:6" ht="15.75" x14ac:dyDescent="0.25">
      <c r="A124" s="35">
        <v>526712</v>
      </c>
      <c r="B124" s="35" t="s">
        <v>14</v>
      </c>
      <c r="C124" s="35" t="s">
        <v>14</v>
      </c>
      <c r="D124" s="35" t="s">
        <v>1803</v>
      </c>
      <c r="E124" s="35">
        <v>-111.42</v>
      </c>
      <c r="F124" s="34">
        <v>43542</v>
      </c>
    </row>
    <row r="125" spans="1:6" ht="15.75" x14ac:dyDescent="0.25">
      <c r="A125" s="35">
        <v>526712</v>
      </c>
      <c r="B125" s="35" t="s">
        <v>14</v>
      </c>
      <c r="C125" s="35" t="s">
        <v>14</v>
      </c>
      <c r="D125" s="35" t="s">
        <v>1803</v>
      </c>
      <c r="E125" s="35">
        <v>-111.08</v>
      </c>
      <c r="F125" s="34">
        <v>43542</v>
      </c>
    </row>
    <row r="126" spans="1:6" ht="15.75" x14ac:dyDescent="0.25">
      <c r="A126" s="35">
        <v>526712</v>
      </c>
      <c r="B126" s="35" t="s">
        <v>14</v>
      </c>
      <c r="C126" s="35" t="s">
        <v>14</v>
      </c>
      <c r="D126" s="35" t="s">
        <v>1803</v>
      </c>
      <c r="E126" s="35">
        <v>-111.08</v>
      </c>
      <c r="F126" s="34">
        <v>43542</v>
      </c>
    </row>
    <row r="127" spans="1:6" ht="15.75" x14ac:dyDescent="0.25">
      <c r="A127" s="35">
        <v>526712</v>
      </c>
      <c r="B127" s="35" t="s">
        <v>14</v>
      </c>
      <c r="C127" s="35" t="s">
        <v>14</v>
      </c>
      <c r="D127" s="35" t="s">
        <v>1803</v>
      </c>
      <c r="E127" s="35">
        <v>-111.08</v>
      </c>
      <c r="F127" s="34">
        <v>43542</v>
      </c>
    </row>
    <row r="128" spans="1:6" ht="15.75" x14ac:dyDescent="0.25">
      <c r="A128" s="35">
        <v>526712</v>
      </c>
      <c r="B128" s="35" t="s">
        <v>14</v>
      </c>
      <c r="C128" s="35" t="s">
        <v>14</v>
      </c>
      <c r="D128" s="35" t="s">
        <v>1803</v>
      </c>
      <c r="E128" s="35">
        <v>-110.84</v>
      </c>
      <c r="F128" s="34">
        <v>43542</v>
      </c>
    </row>
    <row r="129" spans="1:6" ht="15.75" x14ac:dyDescent="0.25">
      <c r="A129" s="35">
        <v>526712</v>
      </c>
      <c r="B129" s="35" t="s">
        <v>14</v>
      </c>
      <c r="C129" s="35" t="s">
        <v>14</v>
      </c>
      <c r="D129" s="35" t="s">
        <v>1803</v>
      </c>
      <c r="E129" s="35">
        <v>-110.84</v>
      </c>
      <c r="F129" s="34">
        <v>43542</v>
      </c>
    </row>
    <row r="130" spans="1:6" ht="15.75" x14ac:dyDescent="0.25">
      <c r="A130" s="35">
        <v>526712</v>
      </c>
      <c r="B130" s="35" t="s">
        <v>14</v>
      </c>
      <c r="C130" s="35" t="s">
        <v>14</v>
      </c>
      <c r="D130" s="35" t="s">
        <v>1803</v>
      </c>
      <c r="E130" s="35">
        <v>-110.4</v>
      </c>
      <c r="F130" s="34">
        <v>43542</v>
      </c>
    </row>
    <row r="131" spans="1:6" ht="15.75" x14ac:dyDescent="0.25">
      <c r="A131" s="35">
        <v>526712</v>
      </c>
      <c r="B131" s="35" t="s">
        <v>14</v>
      </c>
      <c r="C131" s="35" t="s">
        <v>14</v>
      </c>
      <c r="D131" s="35" t="s">
        <v>1803</v>
      </c>
      <c r="E131" s="35">
        <v>-110.4</v>
      </c>
      <c r="F131" s="34">
        <v>43542</v>
      </c>
    </row>
    <row r="132" spans="1:6" ht="15.75" x14ac:dyDescent="0.25">
      <c r="A132" s="35">
        <v>526712</v>
      </c>
      <c r="B132" s="35" t="s">
        <v>14</v>
      </c>
      <c r="C132" s="35" t="s">
        <v>14</v>
      </c>
      <c r="D132" s="35" t="s">
        <v>1803</v>
      </c>
      <c r="E132" s="35">
        <v>-110.4</v>
      </c>
      <c r="F132" s="34">
        <v>43542</v>
      </c>
    </row>
    <row r="133" spans="1:6" ht="15.75" x14ac:dyDescent="0.25">
      <c r="A133" s="35">
        <v>526712</v>
      </c>
      <c r="B133" s="35" t="s">
        <v>14</v>
      </c>
      <c r="C133" s="35" t="s">
        <v>14</v>
      </c>
      <c r="D133" s="35" t="s">
        <v>1803</v>
      </c>
      <c r="E133" s="35">
        <v>-110.22</v>
      </c>
      <c r="F133" s="34">
        <v>43542</v>
      </c>
    </row>
    <row r="134" spans="1:6" ht="15.75" x14ac:dyDescent="0.25">
      <c r="A134" s="35">
        <v>526712</v>
      </c>
      <c r="B134" s="35" t="s">
        <v>14</v>
      </c>
      <c r="C134" s="35" t="s">
        <v>14</v>
      </c>
      <c r="D134" s="35" t="s">
        <v>1803</v>
      </c>
      <c r="E134" s="35">
        <v>-110.22</v>
      </c>
      <c r="F134" s="34">
        <v>43542</v>
      </c>
    </row>
    <row r="135" spans="1:6" ht="15.75" x14ac:dyDescent="0.25">
      <c r="A135" s="35">
        <v>526712</v>
      </c>
      <c r="B135" s="35" t="s">
        <v>14</v>
      </c>
      <c r="C135" s="35" t="s">
        <v>14</v>
      </c>
      <c r="D135" s="35" t="s">
        <v>1803</v>
      </c>
      <c r="E135" s="35">
        <v>-110.06</v>
      </c>
      <c r="F135" s="34">
        <v>43542</v>
      </c>
    </row>
    <row r="136" spans="1:6" ht="15.75" x14ac:dyDescent="0.25">
      <c r="A136" s="35">
        <v>526712</v>
      </c>
      <c r="B136" s="35" t="s">
        <v>14</v>
      </c>
      <c r="C136" s="35" t="s">
        <v>14</v>
      </c>
      <c r="D136" s="35" t="s">
        <v>1803</v>
      </c>
      <c r="E136" s="35">
        <v>-110.06</v>
      </c>
      <c r="F136" s="34">
        <v>43542</v>
      </c>
    </row>
    <row r="137" spans="1:6" ht="15.75" x14ac:dyDescent="0.25">
      <c r="A137" s="35">
        <v>526712</v>
      </c>
      <c r="B137" s="35" t="s">
        <v>14</v>
      </c>
      <c r="C137" s="35" t="s">
        <v>14</v>
      </c>
      <c r="D137" s="35" t="s">
        <v>1803</v>
      </c>
      <c r="E137" s="35">
        <v>-109.72</v>
      </c>
      <c r="F137" s="34">
        <v>43542</v>
      </c>
    </row>
    <row r="138" spans="1:6" ht="15.75" x14ac:dyDescent="0.25">
      <c r="A138" s="35">
        <v>526712</v>
      </c>
      <c r="B138" s="35" t="s">
        <v>14</v>
      </c>
      <c r="C138" s="35" t="s">
        <v>14</v>
      </c>
      <c r="D138" s="35" t="s">
        <v>1803</v>
      </c>
      <c r="E138" s="35">
        <v>-109.72</v>
      </c>
      <c r="F138" s="34">
        <v>43542</v>
      </c>
    </row>
    <row r="139" spans="1:6" ht="15.75" x14ac:dyDescent="0.25">
      <c r="A139" s="35">
        <v>526712</v>
      </c>
      <c r="B139" s="35" t="s">
        <v>14</v>
      </c>
      <c r="C139" s="35" t="s">
        <v>14</v>
      </c>
      <c r="D139" s="35" t="s">
        <v>1803</v>
      </c>
      <c r="E139" s="35">
        <v>-109.48</v>
      </c>
      <c r="F139" s="34">
        <v>43542</v>
      </c>
    </row>
    <row r="140" spans="1:6" ht="15.75" x14ac:dyDescent="0.25">
      <c r="A140" s="35">
        <v>526712</v>
      </c>
      <c r="B140" s="35" t="s">
        <v>14</v>
      </c>
      <c r="C140" s="35" t="s">
        <v>14</v>
      </c>
      <c r="D140" s="35" t="s">
        <v>1803</v>
      </c>
      <c r="E140" s="35">
        <v>-107.68</v>
      </c>
      <c r="F140" s="34">
        <v>43542</v>
      </c>
    </row>
    <row r="141" spans="1:6" ht="15.75" x14ac:dyDescent="0.25">
      <c r="A141" s="35">
        <v>526712</v>
      </c>
      <c r="B141" s="35" t="s">
        <v>14</v>
      </c>
      <c r="C141" s="35" t="s">
        <v>14</v>
      </c>
      <c r="D141" s="35" t="s">
        <v>1803</v>
      </c>
      <c r="E141" s="35">
        <v>-107.68</v>
      </c>
      <c r="F141" s="34">
        <v>43542</v>
      </c>
    </row>
    <row r="142" spans="1:6" ht="15.75" x14ac:dyDescent="0.25">
      <c r="A142" s="35">
        <v>526712</v>
      </c>
      <c r="B142" s="35" t="s">
        <v>14</v>
      </c>
      <c r="C142" s="35" t="s">
        <v>14</v>
      </c>
      <c r="D142" s="35" t="s">
        <v>1803</v>
      </c>
      <c r="E142" s="35">
        <v>-107.68</v>
      </c>
      <c r="F142" s="34">
        <v>43542</v>
      </c>
    </row>
    <row r="143" spans="1:6" ht="15.75" x14ac:dyDescent="0.25">
      <c r="A143" s="35">
        <v>526712</v>
      </c>
      <c r="B143" s="35" t="s">
        <v>14</v>
      </c>
      <c r="C143" s="35" t="s">
        <v>14</v>
      </c>
      <c r="D143" s="35" t="s">
        <v>1803</v>
      </c>
      <c r="E143" s="35">
        <v>-107.58</v>
      </c>
      <c r="F143" s="34">
        <v>43542</v>
      </c>
    </row>
    <row r="144" spans="1:6" ht="15.75" x14ac:dyDescent="0.25">
      <c r="A144" s="35">
        <v>526712</v>
      </c>
      <c r="B144" s="35" t="s">
        <v>14</v>
      </c>
      <c r="C144" s="35" t="s">
        <v>14</v>
      </c>
      <c r="D144" s="35" t="s">
        <v>1803</v>
      </c>
      <c r="E144" s="35">
        <v>-106.08</v>
      </c>
      <c r="F144" s="34">
        <v>43542</v>
      </c>
    </row>
    <row r="145" spans="1:6" ht="15.75" x14ac:dyDescent="0.25">
      <c r="A145" s="35">
        <v>526712</v>
      </c>
      <c r="B145" s="35" t="s">
        <v>14</v>
      </c>
      <c r="C145" s="35" t="s">
        <v>14</v>
      </c>
      <c r="D145" s="35" t="s">
        <v>1803</v>
      </c>
      <c r="E145" s="35">
        <v>-106.08</v>
      </c>
      <c r="F145" s="34">
        <v>43542</v>
      </c>
    </row>
    <row r="146" spans="1:6" ht="15.75" x14ac:dyDescent="0.25">
      <c r="A146" s="35">
        <v>526712</v>
      </c>
      <c r="B146" s="35" t="s">
        <v>14</v>
      </c>
      <c r="C146" s="35" t="s">
        <v>14</v>
      </c>
      <c r="D146" s="35" t="s">
        <v>1803</v>
      </c>
      <c r="E146" s="35">
        <v>-105.4</v>
      </c>
      <c r="F146" s="34">
        <v>43542</v>
      </c>
    </row>
    <row r="147" spans="1:6" ht="15.75" x14ac:dyDescent="0.25">
      <c r="A147" s="35">
        <v>526712</v>
      </c>
      <c r="B147" s="35" t="s">
        <v>14</v>
      </c>
      <c r="C147" s="35" t="s">
        <v>14</v>
      </c>
      <c r="D147" s="35" t="s">
        <v>1803</v>
      </c>
      <c r="E147" s="35">
        <v>-104.28</v>
      </c>
      <c r="F147" s="34">
        <v>43542</v>
      </c>
    </row>
    <row r="148" spans="1:6" ht="15.75" x14ac:dyDescent="0.25">
      <c r="A148" s="35">
        <v>526712</v>
      </c>
      <c r="B148" s="35" t="s">
        <v>14</v>
      </c>
      <c r="C148" s="35" t="s">
        <v>14</v>
      </c>
      <c r="D148" s="35" t="s">
        <v>1803</v>
      </c>
      <c r="E148" s="35">
        <v>-103.36</v>
      </c>
      <c r="F148" s="34">
        <v>43542</v>
      </c>
    </row>
    <row r="149" spans="1:6" ht="15.75" x14ac:dyDescent="0.25">
      <c r="A149" s="35">
        <v>526712</v>
      </c>
      <c r="B149" s="35" t="s">
        <v>14</v>
      </c>
      <c r="C149" s="35" t="s">
        <v>14</v>
      </c>
      <c r="D149" s="35" t="s">
        <v>1803</v>
      </c>
      <c r="E149" s="35">
        <v>-101.64</v>
      </c>
      <c r="F149" s="34">
        <v>43542</v>
      </c>
    </row>
    <row r="150" spans="1:6" ht="15.75" x14ac:dyDescent="0.25">
      <c r="A150" s="35">
        <v>526712</v>
      </c>
      <c r="B150" s="35" t="s">
        <v>14</v>
      </c>
      <c r="C150" s="35" t="s">
        <v>14</v>
      </c>
      <c r="D150" s="35" t="s">
        <v>1803</v>
      </c>
      <c r="E150" s="35">
        <v>-101.32</v>
      </c>
      <c r="F150" s="34">
        <v>43542</v>
      </c>
    </row>
    <row r="151" spans="1:6" ht="15.75" x14ac:dyDescent="0.25">
      <c r="A151" s="35">
        <v>526712</v>
      </c>
      <c r="B151" s="35" t="s">
        <v>14</v>
      </c>
      <c r="C151" s="35" t="s">
        <v>14</v>
      </c>
      <c r="D151" s="35" t="s">
        <v>1803</v>
      </c>
      <c r="E151" s="35">
        <v>-101.32</v>
      </c>
      <c r="F151" s="34">
        <v>43542</v>
      </c>
    </row>
    <row r="152" spans="1:6" ht="15.75" x14ac:dyDescent="0.25">
      <c r="A152" s="35">
        <v>526712</v>
      </c>
      <c r="B152" s="35" t="s">
        <v>14</v>
      </c>
      <c r="C152" s="35" t="s">
        <v>14</v>
      </c>
      <c r="D152" s="35" t="s">
        <v>1803</v>
      </c>
      <c r="E152" s="35">
        <v>-99.52</v>
      </c>
      <c r="F152" s="34">
        <v>43542</v>
      </c>
    </row>
    <row r="153" spans="1:6" ht="15.75" x14ac:dyDescent="0.25">
      <c r="A153" s="35">
        <v>526712</v>
      </c>
      <c r="B153" s="35" t="s">
        <v>14</v>
      </c>
      <c r="C153" s="35" t="s">
        <v>14</v>
      </c>
      <c r="D153" s="35" t="s">
        <v>1803</v>
      </c>
      <c r="E153" s="35">
        <v>-98.84</v>
      </c>
      <c r="F153" s="34">
        <v>43542</v>
      </c>
    </row>
    <row r="154" spans="1:6" ht="15.75" x14ac:dyDescent="0.25">
      <c r="A154" s="35">
        <v>526712</v>
      </c>
      <c r="B154" s="35" t="s">
        <v>14</v>
      </c>
      <c r="C154" s="35" t="s">
        <v>14</v>
      </c>
      <c r="D154" s="35" t="s">
        <v>1803</v>
      </c>
      <c r="E154" s="35">
        <v>-98.44</v>
      </c>
      <c r="F154" s="34">
        <v>43542</v>
      </c>
    </row>
    <row r="155" spans="1:6" ht="15.75" x14ac:dyDescent="0.25">
      <c r="A155" s="35">
        <v>526712</v>
      </c>
      <c r="B155" s="35" t="s">
        <v>14</v>
      </c>
      <c r="C155" s="35" t="s">
        <v>14</v>
      </c>
      <c r="D155" s="35" t="s">
        <v>1803</v>
      </c>
      <c r="E155" s="35">
        <v>-98.34</v>
      </c>
      <c r="F155" s="34">
        <v>43542</v>
      </c>
    </row>
    <row r="156" spans="1:6" ht="15.75" x14ac:dyDescent="0.25">
      <c r="A156" s="35">
        <v>526712</v>
      </c>
      <c r="B156" s="35" t="s">
        <v>14</v>
      </c>
      <c r="C156" s="35" t="s">
        <v>14</v>
      </c>
      <c r="D156" s="35" t="s">
        <v>1803</v>
      </c>
      <c r="E156" s="35">
        <v>-96.3</v>
      </c>
      <c r="F156" s="34">
        <v>43542</v>
      </c>
    </row>
    <row r="157" spans="1:6" ht="15.75" x14ac:dyDescent="0.25">
      <c r="A157" s="35">
        <v>526712</v>
      </c>
      <c r="B157" s="35" t="s">
        <v>14</v>
      </c>
      <c r="C157" s="35" t="s">
        <v>14</v>
      </c>
      <c r="D157" s="35" t="s">
        <v>1803</v>
      </c>
      <c r="E157" s="35">
        <v>-96.3</v>
      </c>
      <c r="F157" s="34">
        <v>43542</v>
      </c>
    </row>
    <row r="158" spans="1:6" ht="15.75" x14ac:dyDescent="0.25">
      <c r="A158" s="35">
        <v>526712</v>
      </c>
      <c r="B158" s="35" t="s">
        <v>14</v>
      </c>
      <c r="C158" s="35" t="s">
        <v>14</v>
      </c>
      <c r="D158" s="35" t="s">
        <v>1803</v>
      </c>
      <c r="E158" s="35">
        <v>-94.84</v>
      </c>
      <c r="F158" s="34">
        <v>43542</v>
      </c>
    </row>
    <row r="159" spans="1:6" ht="15.75" x14ac:dyDescent="0.25">
      <c r="A159" s="35">
        <v>526712</v>
      </c>
      <c r="B159" s="35" t="s">
        <v>14</v>
      </c>
      <c r="C159" s="35" t="s">
        <v>14</v>
      </c>
      <c r="D159" s="35" t="s">
        <v>1803</v>
      </c>
      <c r="E159" s="35">
        <v>-93.72</v>
      </c>
      <c r="F159" s="34">
        <v>43542</v>
      </c>
    </row>
    <row r="160" spans="1:6" ht="15.75" x14ac:dyDescent="0.25">
      <c r="A160" s="35">
        <v>526712</v>
      </c>
      <c r="B160" s="35" t="s">
        <v>14</v>
      </c>
      <c r="C160" s="35" t="s">
        <v>14</v>
      </c>
      <c r="D160" s="35" t="s">
        <v>1803</v>
      </c>
      <c r="E160" s="35">
        <v>-93.1</v>
      </c>
      <c r="F160" s="34">
        <v>43542</v>
      </c>
    </row>
    <row r="161" spans="1:6" ht="15.75" x14ac:dyDescent="0.25">
      <c r="A161" s="35">
        <v>526712</v>
      </c>
      <c r="B161" s="35" t="s">
        <v>14</v>
      </c>
      <c r="C161" s="35" t="s">
        <v>14</v>
      </c>
      <c r="D161" s="35" t="s">
        <v>1803</v>
      </c>
      <c r="E161" s="35">
        <v>-93.1</v>
      </c>
      <c r="F161" s="34">
        <v>43542</v>
      </c>
    </row>
    <row r="162" spans="1:6" ht="15.75" x14ac:dyDescent="0.25">
      <c r="A162" s="35">
        <v>526712</v>
      </c>
      <c r="B162" s="35" t="s">
        <v>14</v>
      </c>
      <c r="C162" s="35" t="s">
        <v>14</v>
      </c>
      <c r="D162" s="35" t="s">
        <v>1803</v>
      </c>
      <c r="E162" s="35">
        <v>-93</v>
      </c>
      <c r="F162" s="34">
        <v>43542</v>
      </c>
    </row>
    <row r="163" spans="1:6" ht="15.75" x14ac:dyDescent="0.25">
      <c r="A163" s="35">
        <v>526712</v>
      </c>
      <c r="B163" s="35" t="s">
        <v>14</v>
      </c>
      <c r="C163" s="35" t="s">
        <v>14</v>
      </c>
      <c r="D163" s="35" t="s">
        <v>1803</v>
      </c>
      <c r="E163" s="35">
        <v>-91.38</v>
      </c>
      <c r="F163" s="34">
        <v>43542</v>
      </c>
    </row>
    <row r="164" spans="1:6" ht="15.75" x14ac:dyDescent="0.25">
      <c r="A164" s="35">
        <v>526712</v>
      </c>
      <c r="B164" s="35" t="s">
        <v>14</v>
      </c>
      <c r="C164" s="35" t="s">
        <v>14</v>
      </c>
      <c r="D164" s="35" t="s">
        <v>1803</v>
      </c>
      <c r="E164" s="35">
        <v>-91.38</v>
      </c>
      <c r="F164" s="34">
        <v>43542</v>
      </c>
    </row>
    <row r="165" spans="1:6" ht="15.75" x14ac:dyDescent="0.25">
      <c r="A165" s="35">
        <v>526712</v>
      </c>
      <c r="B165" s="35" t="s">
        <v>14</v>
      </c>
      <c r="C165" s="35" t="s">
        <v>14</v>
      </c>
      <c r="D165" s="35" t="s">
        <v>1803</v>
      </c>
      <c r="E165" s="35">
        <v>-89.88</v>
      </c>
      <c r="F165" s="34">
        <v>43542</v>
      </c>
    </row>
    <row r="166" spans="1:6" ht="15.75" x14ac:dyDescent="0.25">
      <c r="A166" s="35">
        <v>526712</v>
      </c>
      <c r="B166" s="35" t="s">
        <v>14</v>
      </c>
      <c r="C166" s="35" t="s">
        <v>14</v>
      </c>
      <c r="D166" s="35" t="s">
        <v>1803</v>
      </c>
      <c r="E166" s="35">
        <v>-89.76</v>
      </c>
      <c r="F166" s="34">
        <v>43542</v>
      </c>
    </row>
    <row r="167" spans="1:6" ht="15.75" x14ac:dyDescent="0.25">
      <c r="A167" s="35">
        <v>526712</v>
      </c>
      <c r="B167" s="35" t="s">
        <v>14</v>
      </c>
      <c r="C167" s="35" t="s">
        <v>14</v>
      </c>
      <c r="D167" s="35" t="s">
        <v>1803</v>
      </c>
      <c r="E167" s="35">
        <v>-89.34</v>
      </c>
      <c r="F167" s="34">
        <v>43542</v>
      </c>
    </row>
    <row r="168" spans="1:6" ht="15.75" x14ac:dyDescent="0.25">
      <c r="A168" s="35">
        <v>526712</v>
      </c>
      <c r="B168" s="35" t="s">
        <v>14</v>
      </c>
      <c r="C168" s="35" t="s">
        <v>14</v>
      </c>
      <c r="D168" s="35" t="s">
        <v>1803</v>
      </c>
      <c r="E168" s="35">
        <v>-89.24</v>
      </c>
      <c r="F168" s="34">
        <v>43542</v>
      </c>
    </row>
    <row r="169" spans="1:6" ht="15.75" x14ac:dyDescent="0.25">
      <c r="A169" s="35">
        <v>526712</v>
      </c>
      <c r="B169" s="35" t="s">
        <v>14</v>
      </c>
      <c r="C169" s="35" t="s">
        <v>14</v>
      </c>
      <c r="D169" s="35" t="s">
        <v>1803</v>
      </c>
      <c r="E169" s="35">
        <v>-88.86</v>
      </c>
      <c r="F169" s="34">
        <v>43542</v>
      </c>
    </row>
    <row r="170" spans="1:6" ht="15.75" x14ac:dyDescent="0.25">
      <c r="A170" s="35">
        <v>526712</v>
      </c>
      <c r="B170" s="35" t="s">
        <v>14</v>
      </c>
      <c r="C170" s="35" t="s">
        <v>14</v>
      </c>
      <c r="D170" s="35" t="s">
        <v>1803</v>
      </c>
      <c r="E170" s="35">
        <v>-88.82</v>
      </c>
      <c r="F170" s="34">
        <v>43542</v>
      </c>
    </row>
    <row r="171" spans="1:6" ht="15.75" x14ac:dyDescent="0.25">
      <c r="A171" s="35">
        <v>526712</v>
      </c>
      <c r="B171" s="35" t="s">
        <v>14</v>
      </c>
      <c r="C171" s="35" t="s">
        <v>14</v>
      </c>
      <c r="D171" s="35" t="s">
        <v>1803</v>
      </c>
      <c r="E171" s="35">
        <v>-88.82</v>
      </c>
      <c r="F171" s="34">
        <v>43542</v>
      </c>
    </row>
    <row r="172" spans="1:6" ht="15.75" x14ac:dyDescent="0.25">
      <c r="A172" s="35">
        <v>526712</v>
      </c>
      <c r="B172" s="35" t="s">
        <v>14</v>
      </c>
      <c r="C172" s="35" t="s">
        <v>14</v>
      </c>
      <c r="D172" s="35" t="s">
        <v>1803</v>
      </c>
      <c r="E172" s="35">
        <v>-88.4</v>
      </c>
      <c r="F172" s="34">
        <v>43542</v>
      </c>
    </row>
    <row r="173" spans="1:6" ht="15.75" x14ac:dyDescent="0.25">
      <c r="A173" s="35">
        <v>526712</v>
      </c>
      <c r="B173" s="35" t="s">
        <v>14</v>
      </c>
      <c r="C173" s="35" t="s">
        <v>14</v>
      </c>
      <c r="D173" s="35" t="s">
        <v>1803</v>
      </c>
      <c r="E173" s="35">
        <v>-88.4</v>
      </c>
      <c r="F173" s="34">
        <v>43542</v>
      </c>
    </row>
    <row r="174" spans="1:6" ht="15.75" x14ac:dyDescent="0.25">
      <c r="A174" s="35">
        <v>526712</v>
      </c>
      <c r="B174" s="35" t="s">
        <v>14</v>
      </c>
      <c r="C174" s="35" t="s">
        <v>14</v>
      </c>
      <c r="D174" s="35" t="s">
        <v>1803</v>
      </c>
      <c r="E174" s="35">
        <v>-88.38</v>
      </c>
      <c r="F174" s="34">
        <v>43542</v>
      </c>
    </row>
    <row r="175" spans="1:6" ht="15.75" x14ac:dyDescent="0.25">
      <c r="A175" s="35">
        <v>526712</v>
      </c>
      <c r="B175" s="35" t="s">
        <v>14</v>
      </c>
      <c r="C175" s="35" t="s">
        <v>14</v>
      </c>
      <c r="D175" s="35" t="s">
        <v>1803</v>
      </c>
      <c r="E175" s="35">
        <v>-88.3</v>
      </c>
      <c r="F175" s="34">
        <v>43542</v>
      </c>
    </row>
    <row r="176" spans="1:6" ht="15.75" x14ac:dyDescent="0.25">
      <c r="A176" s="35">
        <v>526712</v>
      </c>
      <c r="B176" s="35" t="s">
        <v>14</v>
      </c>
      <c r="C176" s="35" t="s">
        <v>14</v>
      </c>
      <c r="D176" s="35" t="s">
        <v>1803</v>
      </c>
      <c r="E176" s="35">
        <v>-86.88</v>
      </c>
      <c r="F176" s="34">
        <v>43542</v>
      </c>
    </row>
    <row r="177" spans="1:6" ht="15.75" x14ac:dyDescent="0.25">
      <c r="A177" s="35">
        <v>526712</v>
      </c>
      <c r="B177" s="35" t="s">
        <v>14</v>
      </c>
      <c r="C177" s="35" t="s">
        <v>14</v>
      </c>
      <c r="D177" s="35" t="s">
        <v>1803</v>
      </c>
      <c r="E177" s="35">
        <v>-86.12</v>
      </c>
      <c r="F177" s="34">
        <v>43542</v>
      </c>
    </row>
    <row r="178" spans="1:6" ht="15.75" x14ac:dyDescent="0.25">
      <c r="A178" s="35">
        <v>526712</v>
      </c>
      <c r="B178" s="35" t="s">
        <v>14</v>
      </c>
      <c r="C178" s="35" t="s">
        <v>14</v>
      </c>
      <c r="D178" s="35" t="s">
        <v>1803</v>
      </c>
      <c r="E178" s="35">
        <v>-85.8</v>
      </c>
      <c r="F178" s="34">
        <v>43542</v>
      </c>
    </row>
    <row r="179" spans="1:6" ht="15.75" x14ac:dyDescent="0.25">
      <c r="A179" s="35">
        <v>526712</v>
      </c>
      <c r="B179" s="35" t="s">
        <v>14</v>
      </c>
      <c r="C179" s="35" t="s">
        <v>14</v>
      </c>
      <c r="D179" s="35" t="s">
        <v>1803</v>
      </c>
      <c r="E179" s="35">
        <v>-85.8</v>
      </c>
      <c r="F179" s="34">
        <v>43542</v>
      </c>
    </row>
    <row r="180" spans="1:6" ht="15.75" x14ac:dyDescent="0.25">
      <c r="A180" s="35">
        <v>526712</v>
      </c>
      <c r="B180" s="35" t="s">
        <v>14</v>
      </c>
      <c r="C180" s="35" t="s">
        <v>14</v>
      </c>
      <c r="D180" s="35" t="s">
        <v>1803</v>
      </c>
      <c r="E180" s="35">
        <v>-85.6</v>
      </c>
      <c r="F180" s="34">
        <v>43542</v>
      </c>
    </row>
    <row r="181" spans="1:6" ht="15.75" x14ac:dyDescent="0.25">
      <c r="A181" s="35">
        <v>526712</v>
      </c>
      <c r="B181" s="35" t="s">
        <v>14</v>
      </c>
      <c r="C181" s="35" t="s">
        <v>14</v>
      </c>
      <c r="D181" s="35" t="s">
        <v>1803</v>
      </c>
      <c r="E181" s="35">
        <v>-85.6</v>
      </c>
      <c r="F181" s="34">
        <v>43542</v>
      </c>
    </row>
    <row r="182" spans="1:6" ht="15.75" x14ac:dyDescent="0.25">
      <c r="A182" s="35">
        <v>526712</v>
      </c>
      <c r="B182" s="35" t="s">
        <v>14</v>
      </c>
      <c r="C182" s="35" t="s">
        <v>14</v>
      </c>
      <c r="D182" s="35" t="s">
        <v>1803</v>
      </c>
      <c r="E182" s="35">
        <v>-85.38</v>
      </c>
      <c r="F182" s="34">
        <v>43542</v>
      </c>
    </row>
    <row r="183" spans="1:6" ht="15.75" x14ac:dyDescent="0.25">
      <c r="A183" s="35">
        <v>526712</v>
      </c>
      <c r="B183" s="35" t="s">
        <v>14</v>
      </c>
      <c r="C183" s="35" t="s">
        <v>14</v>
      </c>
      <c r="D183" s="35" t="s">
        <v>1803</v>
      </c>
      <c r="E183" s="35">
        <v>-85.38</v>
      </c>
      <c r="F183" s="34">
        <v>43542</v>
      </c>
    </row>
    <row r="184" spans="1:6" ht="15.75" x14ac:dyDescent="0.25">
      <c r="A184" s="35">
        <v>526712</v>
      </c>
      <c r="B184" s="35" t="s">
        <v>14</v>
      </c>
      <c r="C184" s="35" t="s">
        <v>14</v>
      </c>
      <c r="D184" s="35" t="s">
        <v>1803</v>
      </c>
      <c r="E184" s="35">
        <v>-84.54</v>
      </c>
      <c r="F184" s="34">
        <v>43542</v>
      </c>
    </row>
    <row r="185" spans="1:6" ht="15.75" x14ac:dyDescent="0.25">
      <c r="A185" s="35">
        <v>526712</v>
      </c>
      <c r="B185" s="35" t="s">
        <v>14</v>
      </c>
      <c r="C185" s="35" t="s">
        <v>14</v>
      </c>
      <c r="D185" s="35" t="s">
        <v>1803</v>
      </c>
      <c r="E185" s="35">
        <v>-84</v>
      </c>
      <c r="F185" s="34">
        <v>43542</v>
      </c>
    </row>
    <row r="186" spans="1:6" ht="15.75" x14ac:dyDescent="0.25">
      <c r="A186" s="35">
        <v>526712</v>
      </c>
      <c r="B186" s="35" t="s">
        <v>14</v>
      </c>
      <c r="C186" s="35" t="s">
        <v>14</v>
      </c>
      <c r="D186" s="35" t="s">
        <v>1803</v>
      </c>
      <c r="E186" s="35">
        <v>-83.46</v>
      </c>
      <c r="F186" s="34">
        <v>43542</v>
      </c>
    </row>
    <row r="187" spans="1:6" ht="15.75" x14ac:dyDescent="0.25">
      <c r="A187" s="35">
        <v>526712</v>
      </c>
      <c r="B187" s="35" t="s">
        <v>14</v>
      </c>
      <c r="C187" s="35" t="s">
        <v>14</v>
      </c>
      <c r="D187" s="35" t="s">
        <v>1803</v>
      </c>
      <c r="E187" s="35">
        <v>-83.46</v>
      </c>
      <c r="F187" s="34">
        <v>43542</v>
      </c>
    </row>
    <row r="188" spans="1:6" ht="15.75" x14ac:dyDescent="0.25">
      <c r="A188" s="35">
        <v>526712</v>
      </c>
      <c r="B188" s="35" t="s">
        <v>14</v>
      </c>
      <c r="C188" s="35" t="s">
        <v>14</v>
      </c>
      <c r="D188" s="35" t="s">
        <v>1803</v>
      </c>
      <c r="E188" s="35">
        <v>-77.56</v>
      </c>
      <c r="F188" s="34">
        <v>43542</v>
      </c>
    </row>
    <row r="189" spans="1:6" ht="15.75" x14ac:dyDescent="0.25">
      <c r="A189" s="35">
        <v>526712</v>
      </c>
      <c r="B189" s="35" t="s">
        <v>14</v>
      </c>
      <c r="C189" s="35" t="s">
        <v>14</v>
      </c>
      <c r="D189" s="35" t="s">
        <v>1803</v>
      </c>
      <c r="E189" s="35">
        <v>-76.56</v>
      </c>
      <c r="F189" s="34">
        <v>43542</v>
      </c>
    </row>
    <row r="190" spans="1:6" ht="15.75" x14ac:dyDescent="0.25">
      <c r="A190" s="35">
        <v>526712</v>
      </c>
      <c r="B190" s="35" t="s">
        <v>14</v>
      </c>
      <c r="C190" s="35" t="s">
        <v>14</v>
      </c>
      <c r="D190" s="35" t="s">
        <v>1803</v>
      </c>
      <c r="E190" s="35">
        <v>-76.16</v>
      </c>
      <c r="F190" s="34">
        <v>43542</v>
      </c>
    </row>
    <row r="191" spans="1:6" ht="15.75" x14ac:dyDescent="0.25">
      <c r="A191" s="35">
        <v>526712</v>
      </c>
      <c r="B191" s="35" t="s">
        <v>14</v>
      </c>
      <c r="C191" s="35" t="s">
        <v>14</v>
      </c>
      <c r="D191" s="35" t="s">
        <v>1803</v>
      </c>
      <c r="E191" s="35">
        <v>-74.900000000000006</v>
      </c>
      <c r="F191" s="34">
        <v>43542</v>
      </c>
    </row>
    <row r="192" spans="1:6" ht="15.75" x14ac:dyDescent="0.25">
      <c r="A192" s="35">
        <v>526712</v>
      </c>
      <c r="B192" s="35" t="s">
        <v>14</v>
      </c>
      <c r="C192" s="35" t="s">
        <v>14</v>
      </c>
      <c r="D192" s="35" t="s">
        <v>1803</v>
      </c>
      <c r="E192" s="35">
        <v>-74.58</v>
      </c>
      <c r="F192" s="34">
        <v>43542</v>
      </c>
    </row>
    <row r="193" spans="1:6" ht="15.75" x14ac:dyDescent="0.25">
      <c r="A193" s="35">
        <v>526712</v>
      </c>
      <c r="B193" s="35" t="s">
        <v>14</v>
      </c>
      <c r="C193" s="35" t="s">
        <v>14</v>
      </c>
      <c r="D193" s="35" t="s">
        <v>1803</v>
      </c>
      <c r="E193" s="35">
        <v>-74.12</v>
      </c>
      <c r="F193" s="34">
        <v>43542</v>
      </c>
    </row>
    <row r="194" spans="1:6" ht="15.75" x14ac:dyDescent="0.25">
      <c r="A194" s="35">
        <v>526712</v>
      </c>
      <c r="B194" s="35" t="s">
        <v>14</v>
      </c>
      <c r="C194" s="35" t="s">
        <v>14</v>
      </c>
      <c r="D194" s="35" t="s">
        <v>1803</v>
      </c>
      <c r="E194" s="35">
        <v>-73.84</v>
      </c>
      <c r="F194" s="34">
        <v>43542</v>
      </c>
    </row>
    <row r="195" spans="1:6" ht="15.75" x14ac:dyDescent="0.25">
      <c r="A195" s="35">
        <v>526712</v>
      </c>
      <c r="B195" s="35" t="s">
        <v>14</v>
      </c>
      <c r="C195" s="35" t="s">
        <v>14</v>
      </c>
      <c r="D195" s="35" t="s">
        <v>1803</v>
      </c>
      <c r="E195" s="35">
        <v>-73.62</v>
      </c>
      <c r="F195" s="34">
        <v>43542</v>
      </c>
    </row>
    <row r="196" spans="1:6" ht="15.75" x14ac:dyDescent="0.25">
      <c r="A196" s="35">
        <v>526712</v>
      </c>
      <c r="B196" s="35" t="s">
        <v>14</v>
      </c>
      <c r="C196" s="35" t="s">
        <v>14</v>
      </c>
      <c r="D196" s="35" t="s">
        <v>1803</v>
      </c>
      <c r="E196" s="35">
        <v>-73.5</v>
      </c>
      <c r="F196" s="34">
        <v>43542</v>
      </c>
    </row>
    <row r="197" spans="1:6" ht="15.75" x14ac:dyDescent="0.25">
      <c r="A197" s="35">
        <v>526712</v>
      </c>
      <c r="B197" s="35" t="s">
        <v>14</v>
      </c>
      <c r="C197" s="35" t="s">
        <v>14</v>
      </c>
      <c r="D197" s="35" t="s">
        <v>1803</v>
      </c>
      <c r="E197" s="35">
        <v>-73.3</v>
      </c>
      <c r="F197" s="34">
        <v>43542</v>
      </c>
    </row>
    <row r="198" spans="1:6" ht="15.75" x14ac:dyDescent="0.25">
      <c r="A198" s="35">
        <v>526712</v>
      </c>
      <c r="B198" s="35" t="s">
        <v>14</v>
      </c>
      <c r="C198" s="35" t="s">
        <v>14</v>
      </c>
      <c r="D198" s="35" t="s">
        <v>1803</v>
      </c>
      <c r="E198" s="35">
        <v>-73.3</v>
      </c>
      <c r="F198" s="34">
        <v>43542</v>
      </c>
    </row>
    <row r="199" spans="1:6" ht="15.75" x14ac:dyDescent="0.25">
      <c r="A199" s="35">
        <v>526712</v>
      </c>
      <c r="B199" s="35" t="s">
        <v>14</v>
      </c>
      <c r="C199" s="35" t="s">
        <v>14</v>
      </c>
      <c r="D199" s="35" t="s">
        <v>1803</v>
      </c>
      <c r="E199" s="35">
        <v>-72.599999999999994</v>
      </c>
      <c r="F199" s="34">
        <v>43542</v>
      </c>
    </row>
    <row r="200" spans="1:6" ht="15.75" x14ac:dyDescent="0.25">
      <c r="A200" s="35">
        <v>526712</v>
      </c>
      <c r="B200" s="35" t="s">
        <v>14</v>
      </c>
      <c r="C200" s="35" t="s">
        <v>14</v>
      </c>
      <c r="D200" s="35" t="s">
        <v>1803</v>
      </c>
      <c r="E200" s="35">
        <v>-67.98</v>
      </c>
      <c r="F200" s="34">
        <v>43542</v>
      </c>
    </row>
    <row r="201" spans="1:6" ht="15.75" x14ac:dyDescent="0.25">
      <c r="A201" s="35">
        <v>526712</v>
      </c>
      <c r="B201" s="35" t="s">
        <v>14</v>
      </c>
      <c r="C201" s="35" t="s">
        <v>14</v>
      </c>
      <c r="D201" s="35" t="s">
        <v>1803</v>
      </c>
      <c r="E201" s="35">
        <v>-67.98</v>
      </c>
      <c r="F201" s="34">
        <v>43542</v>
      </c>
    </row>
    <row r="202" spans="1:6" ht="15.75" x14ac:dyDescent="0.25">
      <c r="A202" s="35">
        <v>526712</v>
      </c>
      <c r="B202" s="35" t="s">
        <v>14</v>
      </c>
      <c r="C202" s="35" t="s">
        <v>14</v>
      </c>
      <c r="D202" s="35" t="s">
        <v>1803</v>
      </c>
      <c r="E202" s="35">
        <v>-67.98</v>
      </c>
      <c r="F202" s="34">
        <v>43542</v>
      </c>
    </row>
    <row r="203" spans="1:6" ht="15.75" x14ac:dyDescent="0.25">
      <c r="A203" s="35">
        <v>526712</v>
      </c>
      <c r="B203" s="35" t="s">
        <v>14</v>
      </c>
      <c r="C203" s="35" t="s">
        <v>14</v>
      </c>
      <c r="D203" s="35" t="s">
        <v>1803</v>
      </c>
      <c r="E203" s="35">
        <v>-66.34</v>
      </c>
      <c r="F203" s="34">
        <v>43542</v>
      </c>
    </row>
    <row r="204" spans="1:6" ht="15.75" x14ac:dyDescent="0.25">
      <c r="A204" s="35">
        <v>526712</v>
      </c>
      <c r="B204" s="35" t="s">
        <v>14</v>
      </c>
      <c r="C204" s="35" t="s">
        <v>14</v>
      </c>
      <c r="D204" s="35" t="s">
        <v>1803</v>
      </c>
      <c r="E204" s="35">
        <v>-66.34</v>
      </c>
      <c r="F204" s="34">
        <v>43542</v>
      </c>
    </row>
    <row r="205" spans="1:6" ht="15.75" x14ac:dyDescent="0.25">
      <c r="A205" s="35">
        <v>526712</v>
      </c>
      <c r="B205" s="35" t="s">
        <v>14</v>
      </c>
      <c r="C205" s="35" t="s">
        <v>14</v>
      </c>
      <c r="D205" s="35" t="s">
        <v>1803</v>
      </c>
      <c r="E205" s="35">
        <v>-66.34</v>
      </c>
      <c r="F205" s="34">
        <v>43542</v>
      </c>
    </row>
    <row r="206" spans="1:6" ht="15.75" x14ac:dyDescent="0.25">
      <c r="A206" s="35">
        <v>526712</v>
      </c>
      <c r="B206" s="35" t="s">
        <v>14</v>
      </c>
      <c r="C206" s="35" t="s">
        <v>14</v>
      </c>
      <c r="D206" s="35" t="s">
        <v>1803</v>
      </c>
      <c r="E206" s="35">
        <v>-66</v>
      </c>
      <c r="F206" s="34">
        <v>43542</v>
      </c>
    </row>
    <row r="207" spans="1:6" ht="15.75" x14ac:dyDescent="0.25">
      <c r="A207" s="35">
        <v>526712</v>
      </c>
      <c r="B207" s="35" t="s">
        <v>14</v>
      </c>
      <c r="C207" s="35" t="s">
        <v>14</v>
      </c>
      <c r="D207" s="35" t="s">
        <v>1803</v>
      </c>
      <c r="E207" s="35">
        <v>-66</v>
      </c>
      <c r="F207" s="34">
        <v>43542</v>
      </c>
    </row>
    <row r="208" spans="1:6" ht="15.75" x14ac:dyDescent="0.25">
      <c r="A208" s="35">
        <v>526712</v>
      </c>
      <c r="B208" s="35" t="s">
        <v>14</v>
      </c>
      <c r="C208" s="35" t="s">
        <v>14</v>
      </c>
      <c r="D208" s="35" t="s">
        <v>1803</v>
      </c>
      <c r="E208" s="35">
        <v>-65.78</v>
      </c>
      <c r="F208" s="34">
        <v>43542</v>
      </c>
    </row>
    <row r="209" spans="1:6" ht="15.75" x14ac:dyDescent="0.25">
      <c r="A209" s="35">
        <v>526712</v>
      </c>
      <c r="B209" s="35" t="s">
        <v>14</v>
      </c>
      <c r="C209" s="35" t="s">
        <v>14</v>
      </c>
      <c r="D209" s="35" t="s">
        <v>1803</v>
      </c>
      <c r="E209" s="35">
        <v>-64.599999999999994</v>
      </c>
      <c r="F209" s="34">
        <v>43542</v>
      </c>
    </row>
    <row r="210" spans="1:6" ht="15.75" x14ac:dyDescent="0.25">
      <c r="A210" s="35">
        <v>526712</v>
      </c>
      <c r="B210" s="35" t="s">
        <v>14</v>
      </c>
      <c r="C210" s="35" t="s">
        <v>14</v>
      </c>
      <c r="D210" s="35" t="s">
        <v>1803</v>
      </c>
      <c r="E210" s="35">
        <v>-64.599999999999994</v>
      </c>
      <c r="F210" s="34">
        <v>43542</v>
      </c>
    </row>
    <row r="211" spans="1:6" ht="15.75" x14ac:dyDescent="0.25">
      <c r="A211" s="35">
        <v>526712</v>
      </c>
      <c r="B211" s="35" t="s">
        <v>14</v>
      </c>
      <c r="C211" s="35" t="s">
        <v>14</v>
      </c>
      <c r="D211" s="35" t="s">
        <v>1803</v>
      </c>
      <c r="E211" s="35">
        <v>-61.88</v>
      </c>
      <c r="F211" s="34">
        <v>43542</v>
      </c>
    </row>
    <row r="212" spans="1:6" ht="15.75" x14ac:dyDescent="0.25">
      <c r="A212" s="35">
        <v>526712</v>
      </c>
      <c r="B212" s="35" t="s">
        <v>14</v>
      </c>
      <c r="C212" s="35" t="s">
        <v>14</v>
      </c>
      <c r="D212" s="35" t="s">
        <v>1803</v>
      </c>
      <c r="E212" s="35">
        <v>-61.88</v>
      </c>
      <c r="F212" s="34">
        <v>43542</v>
      </c>
    </row>
    <row r="213" spans="1:6" ht="15.75" x14ac:dyDescent="0.25">
      <c r="A213" s="35">
        <v>526712</v>
      </c>
      <c r="B213" s="35" t="s">
        <v>14</v>
      </c>
      <c r="C213" s="35" t="s">
        <v>14</v>
      </c>
      <c r="D213" s="35" t="s">
        <v>1803</v>
      </c>
      <c r="E213" s="35">
        <v>-61</v>
      </c>
      <c r="F213" s="34">
        <v>43542</v>
      </c>
    </row>
    <row r="214" spans="1:6" ht="15.75" x14ac:dyDescent="0.25">
      <c r="A214" s="35">
        <v>526712</v>
      </c>
      <c r="B214" s="35" t="s">
        <v>14</v>
      </c>
      <c r="C214" s="35" t="s">
        <v>14</v>
      </c>
      <c r="D214" s="35" t="s">
        <v>1803</v>
      </c>
      <c r="E214" s="35">
        <v>-60.72</v>
      </c>
      <c r="F214" s="34">
        <v>43542</v>
      </c>
    </row>
    <row r="215" spans="1:6" ht="15.75" x14ac:dyDescent="0.25">
      <c r="A215" s="35">
        <v>526712</v>
      </c>
      <c r="B215" s="35" t="s">
        <v>14</v>
      </c>
      <c r="C215" s="35" t="s">
        <v>14</v>
      </c>
      <c r="D215" s="35" t="s">
        <v>1803</v>
      </c>
      <c r="E215" s="35">
        <v>-59.92</v>
      </c>
      <c r="F215" s="34">
        <v>43542</v>
      </c>
    </row>
    <row r="216" spans="1:6" ht="15.75" x14ac:dyDescent="0.25">
      <c r="A216" s="35">
        <v>526712</v>
      </c>
      <c r="B216" s="35" t="s">
        <v>14</v>
      </c>
      <c r="C216" s="35" t="s">
        <v>14</v>
      </c>
      <c r="D216" s="35" t="s">
        <v>1803</v>
      </c>
      <c r="E216" s="35">
        <v>-59.16</v>
      </c>
      <c r="F216" s="34">
        <v>43542</v>
      </c>
    </row>
    <row r="217" spans="1:6" ht="15.75" x14ac:dyDescent="0.25">
      <c r="A217" s="35">
        <v>526712</v>
      </c>
      <c r="B217" s="35" t="s">
        <v>14</v>
      </c>
      <c r="C217" s="35" t="s">
        <v>14</v>
      </c>
      <c r="D217" s="35" t="s">
        <v>1803</v>
      </c>
      <c r="E217" s="35">
        <v>-58.84</v>
      </c>
      <c r="F217" s="34">
        <v>43542</v>
      </c>
    </row>
    <row r="218" spans="1:6" ht="15.75" x14ac:dyDescent="0.25">
      <c r="A218" s="35">
        <v>526712</v>
      </c>
      <c r="B218" s="35" t="s">
        <v>14</v>
      </c>
      <c r="C218" s="35" t="s">
        <v>14</v>
      </c>
      <c r="D218" s="35" t="s">
        <v>1803</v>
      </c>
      <c r="E218" s="35">
        <v>-58.42</v>
      </c>
      <c r="F218" s="34">
        <v>43542</v>
      </c>
    </row>
    <row r="219" spans="1:6" ht="15.75" x14ac:dyDescent="0.25">
      <c r="A219" s="35">
        <v>526712</v>
      </c>
      <c r="B219" s="35" t="s">
        <v>14</v>
      </c>
      <c r="C219" s="35" t="s">
        <v>14</v>
      </c>
      <c r="D219" s="35" t="s">
        <v>1803</v>
      </c>
      <c r="E219" s="35">
        <v>-58.42</v>
      </c>
      <c r="F219" s="34">
        <v>43542</v>
      </c>
    </row>
    <row r="220" spans="1:6" ht="15.75" x14ac:dyDescent="0.25">
      <c r="A220" s="35">
        <v>526712</v>
      </c>
      <c r="B220" s="35" t="s">
        <v>14</v>
      </c>
      <c r="C220" s="35" t="s">
        <v>14</v>
      </c>
      <c r="D220" s="35" t="s">
        <v>1803</v>
      </c>
      <c r="E220" s="35">
        <v>-57.42</v>
      </c>
      <c r="F220" s="34">
        <v>43542</v>
      </c>
    </row>
    <row r="221" spans="1:6" ht="15.75" x14ac:dyDescent="0.25">
      <c r="A221" s="35">
        <v>526712</v>
      </c>
      <c r="B221" s="35" t="s">
        <v>14</v>
      </c>
      <c r="C221" s="35" t="s">
        <v>14</v>
      </c>
      <c r="D221" s="35" t="s">
        <v>1803</v>
      </c>
      <c r="E221" s="35">
        <v>-55.2</v>
      </c>
      <c r="F221" s="34">
        <v>43542</v>
      </c>
    </row>
    <row r="222" spans="1:6" ht="15.75" x14ac:dyDescent="0.25">
      <c r="A222" s="35">
        <v>526712</v>
      </c>
      <c r="B222" s="35" t="s">
        <v>14</v>
      </c>
      <c r="C222" s="35" t="s">
        <v>14</v>
      </c>
      <c r="D222" s="35" t="s">
        <v>1803</v>
      </c>
      <c r="E222" s="35">
        <v>-52.14</v>
      </c>
      <c r="F222" s="34">
        <v>43542</v>
      </c>
    </row>
    <row r="223" spans="1:6" ht="15.75" x14ac:dyDescent="0.25">
      <c r="A223" s="35">
        <v>526712</v>
      </c>
      <c r="B223" s="35" t="s">
        <v>14</v>
      </c>
      <c r="C223" s="35" t="s">
        <v>14</v>
      </c>
      <c r="D223" s="35" t="s">
        <v>1803</v>
      </c>
      <c r="E223" s="35">
        <v>-51.84</v>
      </c>
      <c r="F223" s="34">
        <v>43542</v>
      </c>
    </row>
    <row r="224" spans="1:6" ht="15.75" x14ac:dyDescent="0.25">
      <c r="A224" s="35">
        <v>526712</v>
      </c>
      <c r="B224" s="35" t="s">
        <v>14</v>
      </c>
      <c r="C224" s="35" t="s">
        <v>14</v>
      </c>
      <c r="D224" s="35" t="s">
        <v>1803</v>
      </c>
      <c r="E224" s="35">
        <v>-51.36</v>
      </c>
      <c r="F224" s="34">
        <v>43542</v>
      </c>
    </row>
    <row r="225" spans="1:6" ht="15.75" x14ac:dyDescent="0.25">
      <c r="A225" s="35">
        <v>526712</v>
      </c>
      <c r="B225" s="35" t="s">
        <v>14</v>
      </c>
      <c r="C225" s="35" t="s">
        <v>14</v>
      </c>
      <c r="D225" s="35" t="s">
        <v>1803</v>
      </c>
      <c r="E225" s="35">
        <v>-51.36</v>
      </c>
      <c r="F225" s="34">
        <v>43542</v>
      </c>
    </row>
    <row r="226" spans="1:6" ht="15.75" x14ac:dyDescent="0.25">
      <c r="A226" s="35">
        <v>526712</v>
      </c>
      <c r="B226" s="35" t="s">
        <v>14</v>
      </c>
      <c r="C226" s="35" t="s">
        <v>14</v>
      </c>
      <c r="D226" s="35" t="s">
        <v>1803</v>
      </c>
      <c r="E226" s="35">
        <v>-50.82</v>
      </c>
      <c r="F226" s="34">
        <v>43542</v>
      </c>
    </row>
    <row r="227" spans="1:6" ht="15.75" x14ac:dyDescent="0.25">
      <c r="A227" s="35">
        <v>526712</v>
      </c>
      <c r="B227" s="35" t="s">
        <v>14</v>
      </c>
      <c r="C227" s="35" t="s">
        <v>14</v>
      </c>
      <c r="D227" s="35" t="s">
        <v>1803</v>
      </c>
      <c r="E227" s="35">
        <v>-50.16</v>
      </c>
      <c r="F227" s="34">
        <v>43542</v>
      </c>
    </row>
    <row r="228" spans="1:6" ht="15.75" x14ac:dyDescent="0.25">
      <c r="A228" s="35">
        <v>526712</v>
      </c>
      <c r="B228" s="35" t="s">
        <v>14</v>
      </c>
      <c r="C228" s="35" t="s">
        <v>14</v>
      </c>
      <c r="D228" s="35" t="s">
        <v>1803</v>
      </c>
      <c r="E228" s="35">
        <v>-50.16</v>
      </c>
      <c r="F228" s="34">
        <v>43542</v>
      </c>
    </row>
    <row r="229" spans="1:6" ht="15.75" x14ac:dyDescent="0.25">
      <c r="A229" s="35">
        <v>526712</v>
      </c>
      <c r="B229" s="35" t="s">
        <v>14</v>
      </c>
      <c r="C229" s="35" t="s">
        <v>14</v>
      </c>
      <c r="D229" s="35" t="s">
        <v>1803</v>
      </c>
      <c r="E229" s="35">
        <v>-49.5</v>
      </c>
      <c r="F229" s="34">
        <v>43542</v>
      </c>
    </row>
    <row r="230" spans="1:6" ht="15.75" x14ac:dyDescent="0.25">
      <c r="A230" s="35">
        <v>526712</v>
      </c>
      <c r="B230" s="35" t="s">
        <v>14</v>
      </c>
      <c r="C230" s="35" t="s">
        <v>14</v>
      </c>
      <c r="D230" s="35" t="s">
        <v>1803</v>
      </c>
      <c r="E230" s="35">
        <v>-48.96</v>
      </c>
      <c r="F230" s="34">
        <v>43542</v>
      </c>
    </row>
    <row r="231" spans="1:6" ht="15.75" x14ac:dyDescent="0.25">
      <c r="A231" s="35">
        <v>526712</v>
      </c>
      <c r="B231" s="35" t="s">
        <v>14</v>
      </c>
      <c r="C231" s="35" t="s">
        <v>14</v>
      </c>
      <c r="D231" s="35" t="s">
        <v>1803</v>
      </c>
      <c r="E231" s="35">
        <v>-48.84</v>
      </c>
      <c r="F231" s="34">
        <v>43542</v>
      </c>
    </row>
    <row r="232" spans="1:6" ht="15.75" x14ac:dyDescent="0.25">
      <c r="A232" s="35">
        <v>526712</v>
      </c>
      <c r="B232" s="35" t="s">
        <v>14</v>
      </c>
      <c r="C232" s="35" t="s">
        <v>14</v>
      </c>
      <c r="D232" s="35" t="s">
        <v>1803</v>
      </c>
      <c r="E232" s="35">
        <v>-47.6</v>
      </c>
      <c r="F232" s="34">
        <v>43542</v>
      </c>
    </row>
    <row r="233" spans="1:6" ht="15.75" x14ac:dyDescent="0.25">
      <c r="A233" s="35">
        <v>526712</v>
      </c>
      <c r="B233" s="35" t="s">
        <v>14</v>
      </c>
      <c r="C233" s="35" t="s">
        <v>14</v>
      </c>
      <c r="D233" s="35" t="s">
        <v>1803</v>
      </c>
      <c r="E233" s="35">
        <v>-44.88</v>
      </c>
      <c r="F233" s="34">
        <v>43542</v>
      </c>
    </row>
    <row r="234" spans="1:6" ht="15.75" x14ac:dyDescent="0.25">
      <c r="A234" s="35">
        <v>526712</v>
      </c>
      <c r="B234" s="35" t="s">
        <v>14</v>
      </c>
      <c r="C234" s="35" t="s">
        <v>14</v>
      </c>
      <c r="D234" s="35" t="s">
        <v>1803</v>
      </c>
      <c r="E234" s="35">
        <v>-42.9</v>
      </c>
      <c r="F234" s="34">
        <v>43542</v>
      </c>
    </row>
    <row r="235" spans="1:6" ht="15.75" x14ac:dyDescent="0.25">
      <c r="A235" s="35">
        <v>526712</v>
      </c>
      <c r="B235" s="35" t="s">
        <v>14</v>
      </c>
      <c r="C235" s="35" t="s">
        <v>14</v>
      </c>
      <c r="D235" s="35" t="s">
        <v>1803</v>
      </c>
      <c r="E235" s="35">
        <v>-41.74</v>
      </c>
      <c r="F235" s="34">
        <v>43542</v>
      </c>
    </row>
    <row r="236" spans="1:6" ht="15.75" x14ac:dyDescent="0.25">
      <c r="A236" s="35">
        <v>526712</v>
      </c>
      <c r="B236" s="35" t="s">
        <v>14</v>
      </c>
      <c r="C236" s="35" t="s">
        <v>14</v>
      </c>
      <c r="D236" s="35" t="s">
        <v>1803</v>
      </c>
      <c r="E236" s="35">
        <v>-37.4</v>
      </c>
      <c r="F236" s="34">
        <v>43542</v>
      </c>
    </row>
    <row r="237" spans="1:6" ht="15.75" x14ac:dyDescent="0.25">
      <c r="A237" s="35">
        <v>526712</v>
      </c>
      <c r="B237" s="35" t="s">
        <v>14</v>
      </c>
      <c r="C237" s="35" t="s">
        <v>14</v>
      </c>
      <c r="D237" s="35" t="s">
        <v>1803</v>
      </c>
      <c r="E237" s="35">
        <v>-36.72</v>
      </c>
      <c r="F237" s="34">
        <v>43542</v>
      </c>
    </row>
    <row r="238" spans="1:6" ht="15.75" x14ac:dyDescent="0.25">
      <c r="A238" s="35">
        <v>526712</v>
      </c>
      <c r="B238" s="35" t="s">
        <v>14</v>
      </c>
      <c r="C238" s="35" t="s">
        <v>14</v>
      </c>
      <c r="D238" s="35" t="s">
        <v>1803</v>
      </c>
      <c r="E238" s="35">
        <v>-36.72</v>
      </c>
      <c r="F238" s="34">
        <v>43542</v>
      </c>
    </row>
    <row r="239" spans="1:6" ht="15.75" x14ac:dyDescent="0.25">
      <c r="A239" s="35">
        <v>526712</v>
      </c>
      <c r="B239" s="35" t="s">
        <v>14</v>
      </c>
      <c r="C239" s="35" t="s">
        <v>14</v>
      </c>
      <c r="D239" s="35" t="s">
        <v>1803</v>
      </c>
      <c r="E239" s="35">
        <v>-36.299999999999997</v>
      </c>
      <c r="F239" s="34">
        <v>43542</v>
      </c>
    </row>
    <row r="240" spans="1:6" ht="15.75" x14ac:dyDescent="0.25">
      <c r="A240" s="35">
        <v>526712</v>
      </c>
      <c r="B240" s="35" t="s">
        <v>14</v>
      </c>
      <c r="C240" s="35" t="s">
        <v>14</v>
      </c>
      <c r="D240" s="35" t="s">
        <v>1803</v>
      </c>
      <c r="E240" s="35">
        <v>-33</v>
      </c>
      <c r="F240" s="34">
        <v>43542</v>
      </c>
    </row>
    <row r="241" spans="1:6" ht="15.75" x14ac:dyDescent="0.25">
      <c r="A241" s="35">
        <v>526712</v>
      </c>
      <c r="B241" s="35" t="s">
        <v>14</v>
      </c>
      <c r="C241" s="35" t="s">
        <v>14</v>
      </c>
      <c r="D241" s="35" t="s">
        <v>1803</v>
      </c>
      <c r="E241" s="35">
        <v>-32.64</v>
      </c>
      <c r="F241" s="34">
        <v>43542</v>
      </c>
    </row>
    <row r="242" spans="1:6" ht="15.75" x14ac:dyDescent="0.25">
      <c r="A242" s="35">
        <v>526712</v>
      </c>
      <c r="B242" s="35" t="s">
        <v>14</v>
      </c>
      <c r="C242" s="35" t="s">
        <v>14</v>
      </c>
      <c r="D242" s="35" t="s">
        <v>1803</v>
      </c>
      <c r="E242" s="35">
        <v>-30.48</v>
      </c>
      <c r="F242" s="34">
        <v>43542</v>
      </c>
    </row>
    <row r="243" spans="1:6" ht="15.75" x14ac:dyDescent="0.25">
      <c r="A243" s="35">
        <v>526712</v>
      </c>
      <c r="B243" s="35" t="s">
        <v>14</v>
      </c>
      <c r="C243" s="35" t="s">
        <v>14</v>
      </c>
      <c r="D243" s="35" t="s">
        <v>1803</v>
      </c>
      <c r="E243" s="35">
        <v>-29.22</v>
      </c>
      <c r="F243" s="34">
        <v>43542</v>
      </c>
    </row>
    <row r="244" spans="1:6" ht="15.75" x14ac:dyDescent="0.25">
      <c r="A244" s="35">
        <v>526712</v>
      </c>
      <c r="B244" s="35" t="s">
        <v>14</v>
      </c>
      <c r="C244" s="35" t="s">
        <v>14</v>
      </c>
      <c r="D244" s="35" t="s">
        <v>1803</v>
      </c>
      <c r="E244" s="35">
        <v>-27.25</v>
      </c>
      <c r="F244" s="34">
        <v>43542</v>
      </c>
    </row>
    <row r="245" spans="1:6" ht="15.75" x14ac:dyDescent="0.25">
      <c r="A245" s="35">
        <v>526712</v>
      </c>
      <c r="B245" s="35" t="s">
        <v>14</v>
      </c>
      <c r="C245" s="35" t="s">
        <v>14</v>
      </c>
      <c r="D245" s="35" t="s">
        <v>1803</v>
      </c>
      <c r="E245" s="35">
        <v>-27</v>
      </c>
      <c r="F245" s="34">
        <v>43542</v>
      </c>
    </row>
    <row r="246" spans="1:6" ht="15.75" x14ac:dyDescent="0.25">
      <c r="A246" s="35">
        <v>526712</v>
      </c>
      <c r="B246" s="35" t="s">
        <v>14</v>
      </c>
      <c r="C246" s="35" t="s">
        <v>14</v>
      </c>
      <c r="D246" s="35" t="s">
        <v>1803</v>
      </c>
      <c r="E246" s="35">
        <v>-26.16</v>
      </c>
      <c r="F246" s="34">
        <v>43542</v>
      </c>
    </row>
    <row r="247" spans="1:6" ht="15.75" x14ac:dyDescent="0.25">
      <c r="A247" s="35">
        <v>526712</v>
      </c>
      <c r="B247" s="35" t="s">
        <v>14</v>
      </c>
      <c r="C247" s="35" t="s">
        <v>14</v>
      </c>
      <c r="D247" s="35" t="s">
        <v>1803</v>
      </c>
      <c r="E247" s="35">
        <v>-26.16</v>
      </c>
      <c r="F247" s="34">
        <v>43542</v>
      </c>
    </row>
    <row r="248" spans="1:6" ht="15.75" x14ac:dyDescent="0.25">
      <c r="A248" s="35">
        <v>526712</v>
      </c>
      <c r="B248" s="35" t="s">
        <v>14</v>
      </c>
      <c r="C248" s="35" t="s">
        <v>14</v>
      </c>
      <c r="D248" s="35" t="s">
        <v>1803</v>
      </c>
      <c r="E248" s="35">
        <v>-25.68</v>
      </c>
      <c r="F248" s="34">
        <v>43542</v>
      </c>
    </row>
    <row r="249" spans="1:6" ht="15.75" x14ac:dyDescent="0.25">
      <c r="A249" s="35">
        <v>526712</v>
      </c>
      <c r="B249" s="35" t="s">
        <v>14</v>
      </c>
      <c r="C249" s="35" t="s">
        <v>14</v>
      </c>
      <c r="D249" s="35" t="s">
        <v>1803</v>
      </c>
      <c r="E249" s="35">
        <v>-22.48</v>
      </c>
      <c r="F249" s="34">
        <v>43542</v>
      </c>
    </row>
    <row r="250" spans="1:6" ht="15.75" x14ac:dyDescent="0.25">
      <c r="A250" s="35">
        <v>526712</v>
      </c>
      <c r="B250" s="35" t="s">
        <v>14</v>
      </c>
      <c r="C250" s="35" t="s">
        <v>14</v>
      </c>
      <c r="D250" s="35" t="s">
        <v>1803</v>
      </c>
      <c r="E250" s="35">
        <v>-22.48</v>
      </c>
      <c r="F250" s="34">
        <v>43542</v>
      </c>
    </row>
    <row r="251" spans="1:6" ht="15.75" x14ac:dyDescent="0.25">
      <c r="A251" s="35">
        <v>526712</v>
      </c>
      <c r="B251" s="35" t="s">
        <v>14</v>
      </c>
      <c r="C251" s="35" t="s">
        <v>14</v>
      </c>
      <c r="D251" s="35" t="s">
        <v>1803</v>
      </c>
      <c r="E251" s="35">
        <v>-22.48</v>
      </c>
      <c r="F251" s="34">
        <v>43542</v>
      </c>
    </row>
    <row r="252" spans="1:6" ht="15.75" x14ac:dyDescent="0.25">
      <c r="A252" s="35">
        <v>526712</v>
      </c>
      <c r="B252" s="35" t="s">
        <v>14</v>
      </c>
      <c r="C252" s="35" t="s">
        <v>14</v>
      </c>
      <c r="D252" s="35" t="s">
        <v>1803</v>
      </c>
      <c r="E252" s="35">
        <v>-19.260000000000002</v>
      </c>
      <c r="F252" s="34">
        <v>43542</v>
      </c>
    </row>
    <row r="253" spans="1:6" ht="15.75" x14ac:dyDescent="0.25">
      <c r="A253" s="35">
        <v>526712</v>
      </c>
      <c r="B253" s="35" t="s">
        <v>14</v>
      </c>
      <c r="C253" s="35" t="s">
        <v>14</v>
      </c>
      <c r="D253" s="35" t="s">
        <v>1803</v>
      </c>
      <c r="E253" s="35">
        <v>-14.98</v>
      </c>
      <c r="F253" s="34">
        <v>43542</v>
      </c>
    </row>
    <row r="254" spans="1:6" ht="15.75" x14ac:dyDescent="0.25">
      <c r="A254" s="35">
        <v>526712</v>
      </c>
      <c r="B254" s="35" t="s">
        <v>14</v>
      </c>
      <c r="C254" s="35" t="s">
        <v>14</v>
      </c>
      <c r="D254" s="35" t="s">
        <v>1803</v>
      </c>
      <c r="E254" s="35">
        <v>-12.42</v>
      </c>
      <c r="F254" s="34">
        <v>43542</v>
      </c>
    </row>
    <row r="255" spans="1:6" ht="15.75" x14ac:dyDescent="0.25">
      <c r="A255" s="35">
        <v>526712</v>
      </c>
      <c r="B255" s="35" t="s">
        <v>14</v>
      </c>
      <c r="C255" s="35" t="s">
        <v>14</v>
      </c>
      <c r="D255" s="35" t="s">
        <v>1803</v>
      </c>
      <c r="E255" s="35">
        <v>-11.29</v>
      </c>
      <c r="F255" s="34">
        <v>43542</v>
      </c>
    </row>
    <row r="256" spans="1:6" ht="15.75" x14ac:dyDescent="0.25">
      <c r="A256" s="35">
        <v>526712</v>
      </c>
      <c r="B256" s="35" t="s">
        <v>14</v>
      </c>
      <c r="C256" s="35" t="s">
        <v>14</v>
      </c>
      <c r="D256" s="35" t="s">
        <v>1803</v>
      </c>
      <c r="E256" s="35">
        <v>-7.64</v>
      </c>
      <c r="F256" s="34">
        <v>43542</v>
      </c>
    </row>
    <row r="257" spans="1:6" ht="15.75" x14ac:dyDescent="0.25">
      <c r="A257" s="35">
        <v>526712</v>
      </c>
      <c r="B257" s="35" t="s">
        <v>14</v>
      </c>
      <c r="C257" s="35" t="s">
        <v>14</v>
      </c>
      <c r="D257" s="35" t="s">
        <v>1803</v>
      </c>
      <c r="E257" s="35">
        <v>-2.1800000000000002</v>
      </c>
      <c r="F257" s="34">
        <v>43542</v>
      </c>
    </row>
    <row r="258" spans="1:6" ht="15.75" x14ac:dyDescent="0.25">
      <c r="A258" s="35">
        <v>526741</v>
      </c>
      <c r="B258" s="35" t="s">
        <v>23</v>
      </c>
      <c r="C258" s="35" t="s">
        <v>1804</v>
      </c>
      <c r="D258" s="35" t="s">
        <v>1805</v>
      </c>
      <c r="E258" s="35">
        <v>4835</v>
      </c>
      <c r="F258" s="34">
        <v>43542</v>
      </c>
    </row>
    <row r="259" spans="1:6" ht="15.75" x14ac:dyDescent="0.25">
      <c r="A259" s="35">
        <v>487110</v>
      </c>
      <c r="B259" s="35" t="s">
        <v>36</v>
      </c>
      <c r="C259" s="35" t="s">
        <v>1806</v>
      </c>
      <c r="D259" s="35" t="s">
        <v>1807</v>
      </c>
      <c r="E259" s="35">
        <v>2229.46</v>
      </c>
      <c r="F259" s="34">
        <v>43543</v>
      </c>
    </row>
    <row r="260" spans="1:6" ht="15.75" x14ac:dyDescent="0.25">
      <c r="A260" s="35">
        <v>487110</v>
      </c>
      <c r="B260" s="35" t="s">
        <v>36</v>
      </c>
      <c r="C260" s="35" t="s">
        <v>1806</v>
      </c>
      <c r="D260" s="35" t="s">
        <v>1808</v>
      </c>
      <c r="E260" s="35">
        <v>3319.8</v>
      </c>
      <c r="F260" s="34">
        <v>43543</v>
      </c>
    </row>
    <row r="261" spans="1:6" ht="15.75" x14ac:dyDescent="0.25">
      <c r="A261" s="35">
        <v>487110</v>
      </c>
      <c r="B261" s="35" t="s">
        <v>36</v>
      </c>
      <c r="C261" s="35" t="s">
        <v>1437</v>
      </c>
      <c r="D261" s="35" t="s">
        <v>1808</v>
      </c>
      <c r="E261" s="35">
        <v>3717.1</v>
      </c>
      <c r="F261" s="34">
        <v>43543</v>
      </c>
    </row>
    <row r="262" spans="1:6" ht="15.75" x14ac:dyDescent="0.25">
      <c r="A262" s="35">
        <v>487110</v>
      </c>
      <c r="B262" s="35" t="s">
        <v>36</v>
      </c>
      <c r="C262" s="35" t="s">
        <v>1806</v>
      </c>
      <c r="D262" s="35" t="s">
        <v>1809</v>
      </c>
      <c r="E262" s="35">
        <v>4755.32</v>
      </c>
      <c r="F262" s="34">
        <v>43543</v>
      </c>
    </row>
    <row r="263" spans="1:6" ht="15.75" x14ac:dyDescent="0.25">
      <c r="A263" s="35">
        <v>558979</v>
      </c>
      <c r="B263" s="35" t="s">
        <v>150</v>
      </c>
      <c r="C263" s="35" t="s">
        <v>1519</v>
      </c>
      <c r="D263" s="35" t="s">
        <v>1810</v>
      </c>
      <c r="E263" s="35">
        <v>125</v>
      </c>
      <c r="F263" s="34">
        <v>43544</v>
      </c>
    </row>
    <row r="264" spans="1:6" ht="15.75" x14ac:dyDescent="0.25">
      <c r="A264" s="35">
        <v>558979</v>
      </c>
      <c r="B264" s="35" t="s">
        <v>150</v>
      </c>
      <c r="C264" s="35" t="s">
        <v>1531</v>
      </c>
      <c r="D264" s="35" t="s">
        <v>1811</v>
      </c>
      <c r="E264" s="35">
        <v>125</v>
      </c>
      <c r="F264" s="34">
        <v>43544</v>
      </c>
    </row>
    <row r="265" spans="1:6" ht="15.75" x14ac:dyDescent="0.25">
      <c r="A265" s="35">
        <v>558979</v>
      </c>
      <c r="B265" s="35" t="s">
        <v>150</v>
      </c>
      <c r="C265" s="35" t="s">
        <v>1216</v>
      </c>
      <c r="D265" s="35" t="s">
        <v>1812</v>
      </c>
      <c r="E265" s="35">
        <v>125</v>
      </c>
      <c r="F265" s="34">
        <v>43544</v>
      </c>
    </row>
    <row r="266" spans="1:6" ht="15.75" x14ac:dyDescent="0.25">
      <c r="A266" s="35">
        <v>558979</v>
      </c>
      <c r="B266" s="35" t="s">
        <v>150</v>
      </c>
      <c r="C266" s="35" t="s">
        <v>1540</v>
      </c>
      <c r="D266" s="35" t="s">
        <v>1813</v>
      </c>
      <c r="E266" s="35">
        <v>125</v>
      </c>
      <c r="F266" s="34">
        <v>43544</v>
      </c>
    </row>
    <row r="267" spans="1:6" ht="15.75" x14ac:dyDescent="0.25">
      <c r="A267" s="35">
        <v>558979</v>
      </c>
      <c r="B267" s="35" t="s">
        <v>150</v>
      </c>
      <c r="C267" s="35" t="s">
        <v>1527</v>
      </c>
      <c r="D267" s="35" t="s">
        <v>1814</v>
      </c>
      <c r="E267" s="35">
        <v>125</v>
      </c>
      <c r="F267" s="34">
        <v>43544</v>
      </c>
    </row>
    <row r="268" spans="1:6" ht="15.75" x14ac:dyDescent="0.25">
      <c r="A268" s="35">
        <v>558979</v>
      </c>
      <c r="B268" s="35" t="s">
        <v>150</v>
      </c>
      <c r="C268" s="35" t="s">
        <v>1529</v>
      </c>
      <c r="D268" s="35" t="s">
        <v>1815</v>
      </c>
      <c r="E268" s="35">
        <v>125</v>
      </c>
      <c r="F268" s="34">
        <v>43544</v>
      </c>
    </row>
    <row r="269" spans="1:6" ht="15.75" x14ac:dyDescent="0.25">
      <c r="A269" s="35">
        <v>558979</v>
      </c>
      <c r="B269" s="35" t="s">
        <v>150</v>
      </c>
      <c r="C269" s="35" t="s">
        <v>1538</v>
      </c>
      <c r="D269" s="35" t="s">
        <v>1816</v>
      </c>
      <c r="E269" s="35">
        <v>125</v>
      </c>
      <c r="F269" s="34">
        <v>43544</v>
      </c>
    </row>
    <row r="270" spans="1:6" ht="15.75" x14ac:dyDescent="0.25">
      <c r="A270" s="35">
        <v>558979</v>
      </c>
      <c r="B270" s="35" t="s">
        <v>150</v>
      </c>
      <c r="C270" s="35" t="s">
        <v>21</v>
      </c>
      <c r="D270" s="35" t="s">
        <v>1817</v>
      </c>
      <c r="E270" s="35">
        <v>125</v>
      </c>
      <c r="F270" s="34">
        <v>43544</v>
      </c>
    </row>
    <row r="271" spans="1:6" ht="15.75" x14ac:dyDescent="0.25">
      <c r="A271" s="35">
        <v>558979</v>
      </c>
      <c r="B271" s="35" t="s">
        <v>150</v>
      </c>
      <c r="C271" s="35" t="s">
        <v>1542</v>
      </c>
      <c r="D271" s="35" t="s">
        <v>1818</v>
      </c>
      <c r="E271" s="35">
        <v>125</v>
      </c>
      <c r="F271" s="34">
        <v>43544</v>
      </c>
    </row>
    <row r="272" spans="1:6" ht="15.75" x14ac:dyDescent="0.25">
      <c r="A272" s="35">
        <v>558979</v>
      </c>
      <c r="B272" s="35" t="s">
        <v>150</v>
      </c>
      <c r="C272" s="35" t="s">
        <v>1533</v>
      </c>
      <c r="D272" s="35" t="s">
        <v>1819</v>
      </c>
      <c r="E272" s="35">
        <v>125</v>
      </c>
      <c r="F272" s="34">
        <v>43544</v>
      </c>
    </row>
    <row r="273" spans="1:6" ht="15.75" x14ac:dyDescent="0.25">
      <c r="A273" s="35">
        <v>558979</v>
      </c>
      <c r="B273" s="35" t="s">
        <v>150</v>
      </c>
      <c r="C273" s="35" t="s">
        <v>1521</v>
      </c>
      <c r="D273" s="35" t="s">
        <v>1820</v>
      </c>
      <c r="E273" s="35">
        <v>125</v>
      </c>
      <c r="F273" s="34">
        <v>43544</v>
      </c>
    </row>
    <row r="274" spans="1:6" ht="15.75" x14ac:dyDescent="0.25">
      <c r="A274" s="35">
        <v>558979</v>
      </c>
      <c r="B274" s="35" t="s">
        <v>150</v>
      </c>
      <c r="C274" s="35" t="s">
        <v>1517</v>
      </c>
      <c r="D274" s="35" t="s">
        <v>1821</v>
      </c>
      <c r="E274" s="35">
        <v>125</v>
      </c>
      <c r="F274" s="34">
        <v>43544</v>
      </c>
    </row>
    <row r="275" spans="1:6" ht="15.75" x14ac:dyDescent="0.25">
      <c r="A275" s="35">
        <v>558979</v>
      </c>
      <c r="B275" s="35" t="s">
        <v>150</v>
      </c>
      <c r="C275" s="35" t="s">
        <v>1525</v>
      </c>
      <c r="D275" s="35" t="s">
        <v>1822</v>
      </c>
      <c r="E275" s="35">
        <v>125</v>
      </c>
      <c r="F275" s="34">
        <v>43544</v>
      </c>
    </row>
    <row r="276" spans="1:6" ht="15.75" x14ac:dyDescent="0.25">
      <c r="A276" s="35">
        <v>558979</v>
      </c>
      <c r="B276" s="35" t="s">
        <v>150</v>
      </c>
      <c r="C276" s="35" t="s">
        <v>1523</v>
      </c>
      <c r="D276" s="35" t="s">
        <v>1823</v>
      </c>
      <c r="E276" s="35">
        <v>125</v>
      </c>
      <c r="F276" s="34">
        <v>43544</v>
      </c>
    </row>
    <row r="277" spans="1:6" ht="15.75" x14ac:dyDescent="0.25">
      <c r="A277" s="35">
        <v>558979</v>
      </c>
      <c r="B277" s="35" t="s">
        <v>150</v>
      </c>
      <c r="C277" s="35" t="s">
        <v>1496</v>
      </c>
      <c r="D277" s="35" t="s">
        <v>1824</v>
      </c>
      <c r="E277" s="35">
        <v>125</v>
      </c>
      <c r="F277" s="34">
        <v>43544</v>
      </c>
    </row>
    <row r="278" spans="1:6" ht="15.75" x14ac:dyDescent="0.25">
      <c r="A278" s="35">
        <v>558979</v>
      </c>
      <c r="B278" s="35" t="s">
        <v>150</v>
      </c>
      <c r="C278" s="35" t="s">
        <v>1536</v>
      </c>
      <c r="D278" s="35" t="s">
        <v>1825</v>
      </c>
      <c r="E278" s="35">
        <v>125</v>
      </c>
      <c r="F278" s="34">
        <v>43544</v>
      </c>
    </row>
    <row r="279" spans="1:6" ht="15.75" x14ac:dyDescent="0.25">
      <c r="A279" s="35">
        <v>558979</v>
      </c>
      <c r="B279" s="35" t="s">
        <v>150</v>
      </c>
      <c r="C279" s="35" t="s">
        <v>1062</v>
      </c>
      <c r="D279" s="35" t="s">
        <v>1826</v>
      </c>
      <c r="E279" s="35">
        <v>200</v>
      </c>
      <c r="F279" s="34">
        <v>43544</v>
      </c>
    </row>
    <row r="280" spans="1:6" ht="15.75" x14ac:dyDescent="0.25">
      <c r="A280" s="35">
        <v>558979</v>
      </c>
      <c r="B280" s="35" t="s">
        <v>150</v>
      </c>
      <c r="C280" s="35" t="s">
        <v>1001</v>
      </c>
      <c r="D280" s="35" t="s">
        <v>1827</v>
      </c>
      <c r="E280" s="35">
        <v>200</v>
      </c>
      <c r="F280" s="34">
        <v>43544</v>
      </c>
    </row>
    <row r="281" spans="1:6" ht="15.75" x14ac:dyDescent="0.25">
      <c r="A281" s="35">
        <v>558979</v>
      </c>
      <c r="B281" s="35" t="s">
        <v>150</v>
      </c>
      <c r="C281" s="35" t="s">
        <v>1431</v>
      </c>
      <c r="D281" s="35" t="s">
        <v>1828</v>
      </c>
      <c r="E281" s="35">
        <v>200</v>
      </c>
      <c r="F281" s="34">
        <v>43544</v>
      </c>
    </row>
    <row r="282" spans="1:6" ht="15.75" x14ac:dyDescent="0.25">
      <c r="A282" s="35">
        <v>558979</v>
      </c>
      <c r="B282" s="35" t="s">
        <v>150</v>
      </c>
      <c r="C282" s="35" t="s">
        <v>785</v>
      </c>
      <c r="D282" s="35" t="s">
        <v>1829</v>
      </c>
      <c r="E282" s="35">
        <v>200</v>
      </c>
      <c r="F282" s="34">
        <v>43544</v>
      </c>
    </row>
    <row r="283" spans="1:6" ht="15.75" x14ac:dyDescent="0.25">
      <c r="A283" s="35">
        <v>558979</v>
      </c>
      <c r="B283" s="35" t="s">
        <v>150</v>
      </c>
      <c r="C283" s="35" t="s">
        <v>1830</v>
      </c>
      <c r="D283" s="35" t="s">
        <v>1831</v>
      </c>
      <c r="E283" s="35">
        <v>200</v>
      </c>
      <c r="F283" s="34">
        <v>43544</v>
      </c>
    </row>
    <row r="284" spans="1:6" ht="15.75" x14ac:dyDescent="0.25">
      <c r="A284" s="35">
        <v>558979</v>
      </c>
      <c r="B284" s="35" t="s">
        <v>150</v>
      </c>
      <c r="C284" s="35" t="s">
        <v>1410</v>
      </c>
      <c r="D284" s="35" t="s">
        <v>1832</v>
      </c>
      <c r="E284" s="35">
        <v>200</v>
      </c>
      <c r="F284" s="34">
        <v>43544</v>
      </c>
    </row>
    <row r="285" spans="1:6" ht="15.75" x14ac:dyDescent="0.25">
      <c r="A285" s="35">
        <v>558979</v>
      </c>
      <c r="B285" s="35" t="s">
        <v>150</v>
      </c>
      <c r="C285" s="35" t="s">
        <v>1415</v>
      </c>
      <c r="D285" s="35" t="s">
        <v>1833</v>
      </c>
      <c r="E285" s="35">
        <v>200</v>
      </c>
      <c r="F285" s="34">
        <v>43544</v>
      </c>
    </row>
    <row r="286" spans="1:6" ht="15.75" x14ac:dyDescent="0.25">
      <c r="A286" s="35">
        <v>558979</v>
      </c>
      <c r="B286" s="35" t="s">
        <v>150</v>
      </c>
      <c r="C286" s="35" t="s">
        <v>927</v>
      </c>
      <c r="D286" s="35" t="s">
        <v>1834</v>
      </c>
      <c r="E286" s="35">
        <v>200</v>
      </c>
      <c r="F286" s="34">
        <v>43544</v>
      </c>
    </row>
    <row r="287" spans="1:6" ht="15.75" x14ac:dyDescent="0.25">
      <c r="A287" s="35">
        <v>558979</v>
      </c>
      <c r="B287" s="35" t="s">
        <v>150</v>
      </c>
      <c r="C287" s="35" t="s">
        <v>1029</v>
      </c>
      <c r="D287" s="35" t="s">
        <v>1835</v>
      </c>
      <c r="E287" s="35">
        <v>225</v>
      </c>
      <c r="F287" s="34">
        <v>43544</v>
      </c>
    </row>
    <row r="288" spans="1:6" ht="15.75" x14ac:dyDescent="0.25">
      <c r="A288" s="35">
        <v>558979</v>
      </c>
      <c r="B288" s="35" t="s">
        <v>150</v>
      </c>
      <c r="C288" s="35" t="s">
        <v>789</v>
      </c>
      <c r="D288" s="35" t="s">
        <v>1836</v>
      </c>
      <c r="E288" s="35">
        <v>333.34</v>
      </c>
      <c r="F288" s="34">
        <v>43544</v>
      </c>
    </row>
    <row r="289" spans="1:6" ht="15.75" x14ac:dyDescent="0.25">
      <c r="A289" s="35">
        <v>558979</v>
      </c>
      <c r="B289" s="35" t="s">
        <v>150</v>
      </c>
      <c r="C289" s="35" t="s">
        <v>309</v>
      </c>
      <c r="D289" s="35" t="s">
        <v>1837</v>
      </c>
      <c r="E289" s="35">
        <v>541.66999999999996</v>
      </c>
      <c r="F289" s="34">
        <v>43544</v>
      </c>
    </row>
    <row r="290" spans="1:6" ht="15.75" x14ac:dyDescent="0.25">
      <c r="A290" s="35">
        <v>587890</v>
      </c>
      <c r="B290" s="35" t="s">
        <v>32</v>
      </c>
      <c r="C290" s="35" t="s">
        <v>404</v>
      </c>
      <c r="D290" s="35" t="s">
        <v>1838</v>
      </c>
      <c r="E290" s="35">
        <v>1500</v>
      </c>
      <c r="F290" s="34">
        <v>43544</v>
      </c>
    </row>
    <row r="291" spans="1:6" ht="15.75" x14ac:dyDescent="0.25">
      <c r="A291" s="35">
        <v>487110</v>
      </c>
      <c r="B291" s="35" t="s">
        <v>36</v>
      </c>
      <c r="C291" s="35" t="s">
        <v>1839</v>
      </c>
      <c r="D291" s="35" t="s">
        <v>1840</v>
      </c>
      <c r="E291" s="35">
        <v>3573.19</v>
      </c>
      <c r="F291" s="34">
        <v>43545</v>
      </c>
    </row>
    <row r="292" spans="1:6" ht="15.75" x14ac:dyDescent="0.25">
      <c r="A292" s="35">
        <v>487110</v>
      </c>
      <c r="B292" s="35" t="s">
        <v>36</v>
      </c>
      <c r="C292" s="35" t="s">
        <v>1841</v>
      </c>
      <c r="D292" s="35" t="s">
        <v>1840</v>
      </c>
      <c r="E292" s="35">
        <v>12839.43</v>
      </c>
      <c r="F292" s="34">
        <v>43545</v>
      </c>
    </row>
    <row r="293" spans="1:6" ht="15.75" x14ac:dyDescent="0.25">
      <c r="A293" s="35">
        <v>487110</v>
      </c>
      <c r="B293" s="35" t="s">
        <v>36</v>
      </c>
      <c r="C293" s="35" t="s">
        <v>1842</v>
      </c>
      <c r="D293" s="35" t="s">
        <v>1840</v>
      </c>
      <c r="E293" s="35">
        <v>12870.36</v>
      </c>
      <c r="F293" s="34">
        <v>43545</v>
      </c>
    </row>
    <row r="294" spans="1:6" ht="15.75" x14ac:dyDescent="0.25">
      <c r="A294" s="35">
        <v>487110</v>
      </c>
      <c r="B294" s="35" t="s">
        <v>36</v>
      </c>
      <c r="C294" s="35" t="s">
        <v>1843</v>
      </c>
      <c r="D294" s="35" t="s">
        <v>1844</v>
      </c>
      <c r="E294" s="35">
        <v>5220</v>
      </c>
      <c r="F294" s="34">
        <v>43549</v>
      </c>
    </row>
    <row r="295" spans="1:6" ht="15.75" x14ac:dyDescent="0.25">
      <c r="A295" s="35">
        <v>487110</v>
      </c>
      <c r="B295" s="35" t="s">
        <v>36</v>
      </c>
      <c r="C295" s="35" t="s">
        <v>1845</v>
      </c>
      <c r="D295" s="35" t="s">
        <v>1846</v>
      </c>
      <c r="E295" s="35">
        <v>5929.99</v>
      </c>
      <c r="F295" s="34">
        <v>43549</v>
      </c>
    </row>
    <row r="296" spans="1:6" ht="15.75" x14ac:dyDescent="0.25">
      <c r="A296" s="35">
        <v>487110</v>
      </c>
      <c r="B296" s="35" t="s">
        <v>36</v>
      </c>
      <c r="C296" s="35" t="s">
        <v>1847</v>
      </c>
      <c r="D296" s="35" t="s">
        <v>1846</v>
      </c>
      <c r="E296" s="35">
        <v>6520.21</v>
      </c>
      <c r="F296" s="34">
        <v>43549</v>
      </c>
    </row>
    <row r="297" spans="1:6" ht="15.75" x14ac:dyDescent="0.25">
      <c r="A297" s="35">
        <v>531110</v>
      </c>
      <c r="B297" s="35" t="s">
        <v>27</v>
      </c>
      <c r="C297" s="35" t="s">
        <v>28</v>
      </c>
      <c r="D297" s="35">
        <v>2000005509</v>
      </c>
      <c r="E297" s="35">
        <v>-53.94</v>
      </c>
      <c r="F297" s="34">
        <v>43550</v>
      </c>
    </row>
    <row r="298" spans="1:6" ht="15.75" x14ac:dyDescent="0.25">
      <c r="A298" s="35">
        <v>531110</v>
      </c>
      <c r="B298" s="35" t="s">
        <v>27</v>
      </c>
      <c r="C298" s="35" t="s">
        <v>28</v>
      </c>
      <c r="D298" s="35">
        <v>2000005509</v>
      </c>
      <c r="E298" s="35">
        <v>-9.36</v>
      </c>
      <c r="F298" s="34">
        <v>43550</v>
      </c>
    </row>
    <row r="299" spans="1:6" ht="15.75" x14ac:dyDescent="0.25">
      <c r="A299" s="35">
        <v>526712</v>
      </c>
      <c r="B299" s="35" t="s">
        <v>14</v>
      </c>
      <c r="C299" s="35" t="s">
        <v>1029</v>
      </c>
      <c r="D299" s="35" t="s">
        <v>1848</v>
      </c>
      <c r="E299" s="35">
        <v>55.44</v>
      </c>
      <c r="F299" s="34">
        <v>43551</v>
      </c>
    </row>
    <row r="300" spans="1:6" ht="15.75" x14ac:dyDescent="0.25">
      <c r="A300" s="35">
        <v>526712</v>
      </c>
      <c r="B300" s="35" t="s">
        <v>14</v>
      </c>
      <c r="C300" s="35" t="s">
        <v>927</v>
      </c>
      <c r="D300" s="35" t="s">
        <v>1849</v>
      </c>
      <c r="E300" s="35">
        <v>87.78</v>
      </c>
      <c r="F300" s="34">
        <v>43551</v>
      </c>
    </row>
    <row r="301" spans="1:6" ht="15.75" x14ac:dyDescent="0.25">
      <c r="A301" s="35">
        <v>526712</v>
      </c>
      <c r="B301" s="35" t="s">
        <v>14</v>
      </c>
      <c r="C301" s="35" t="s">
        <v>1350</v>
      </c>
      <c r="D301" s="35" t="s">
        <v>1850</v>
      </c>
      <c r="E301" s="35">
        <v>114.84</v>
      </c>
      <c r="F301" s="34">
        <v>43551</v>
      </c>
    </row>
    <row r="302" spans="1:6" ht="15.75" x14ac:dyDescent="0.25">
      <c r="A302" s="35">
        <v>526712</v>
      </c>
      <c r="B302" s="35" t="s">
        <v>14</v>
      </c>
      <c r="C302" s="35" t="s">
        <v>1304</v>
      </c>
      <c r="D302" s="35" t="s">
        <v>1851</v>
      </c>
      <c r="E302" s="35">
        <v>150.82</v>
      </c>
      <c r="F302" s="34">
        <v>43551</v>
      </c>
    </row>
    <row r="303" spans="1:6" ht="15.75" x14ac:dyDescent="0.25">
      <c r="A303" s="35">
        <v>526712</v>
      </c>
      <c r="B303" s="35" t="s">
        <v>14</v>
      </c>
      <c r="C303" s="35" t="s">
        <v>309</v>
      </c>
      <c r="D303" s="35" t="s">
        <v>1852</v>
      </c>
      <c r="E303" s="35">
        <v>150.82</v>
      </c>
      <c r="F303" s="34">
        <v>43551</v>
      </c>
    </row>
    <row r="304" spans="1:6" ht="15.75" x14ac:dyDescent="0.25">
      <c r="A304" s="35">
        <v>526712</v>
      </c>
      <c r="B304" s="35" t="s">
        <v>14</v>
      </c>
      <c r="C304" s="35" t="s">
        <v>785</v>
      </c>
      <c r="D304" s="35" t="s">
        <v>1853</v>
      </c>
      <c r="E304" s="35">
        <v>249.48</v>
      </c>
      <c r="F304" s="34">
        <v>43551</v>
      </c>
    </row>
    <row r="305" spans="1:6" ht="15.75" x14ac:dyDescent="0.25">
      <c r="A305" s="35">
        <v>531110</v>
      </c>
      <c r="B305" s="35" t="s">
        <v>27</v>
      </c>
      <c r="C305" s="35" t="s">
        <v>28</v>
      </c>
      <c r="D305" s="35" t="s">
        <v>1854</v>
      </c>
      <c r="E305" s="35">
        <v>-53.94</v>
      </c>
      <c r="F305" s="34">
        <v>43552</v>
      </c>
    </row>
    <row r="306" spans="1:6" ht="15.75" x14ac:dyDescent="0.25">
      <c r="A306" s="35">
        <v>531110</v>
      </c>
      <c r="B306" s="35" t="s">
        <v>27</v>
      </c>
      <c r="C306" s="35" t="s">
        <v>28</v>
      </c>
      <c r="D306" s="35" t="s">
        <v>1855</v>
      </c>
      <c r="E306" s="35">
        <v>-9.36</v>
      </c>
      <c r="F306" s="34">
        <v>43552</v>
      </c>
    </row>
    <row r="307" spans="1:6" ht="15.75" x14ac:dyDescent="0.25">
      <c r="A307" s="35">
        <v>531110</v>
      </c>
      <c r="B307" s="35" t="s">
        <v>27</v>
      </c>
      <c r="C307" s="35" t="s">
        <v>28</v>
      </c>
      <c r="D307" s="35" t="s">
        <v>1855</v>
      </c>
      <c r="E307" s="35">
        <v>9.36</v>
      </c>
      <c r="F307" s="34">
        <v>43552</v>
      </c>
    </row>
    <row r="308" spans="1:6" ht="15.75" x14ac:dyDescent="0.25">
      <c r="A308" s="35">
        <v>531110</v>
      </c>
      <c r="B308" s="35" t="s">
        <v>27</v>
      </c>
      <c r="C308" s="35" t="s">
        <v>28</v>
      </c>
      <c r="D308" s="35" t="s">
        <v>1854</v>
      </c>
      <c r="E308" s="35">
        <v>53.94</v>
      </c>
      <c r="F308" s="34">
        <v>43552</v>
      </c>
    </row>
    <row r="309" spans="1:6" ht="15.75" x14ac:dyDescent="0.25">
      <c r="A309" s="35">
        <v>527510</v>
      </c>
      <c r="B309" s="35" t="s">
        <v>671</v>
      </c>
      <c r="C309" s="35" t="s">
        <v>1158</v>
      </c>
      <c r="D309" s="35" t="s">
        <v>1856</v>
      </c>
      <c r="E309" s="35">
        <v>586.25</v>
      </c>
      <c r="F309" s="34">
        <v>43552</v>
      </c>
    </row>
    <row r="310" spans="1:6" ht="15.75" x14ac:dyDescent="0.25">
      <c r="A310" s="35">
        <v>558982</v>
      </c>
      <c r="B310" s="35" t="s">
        <v>819</v>
      </c>
      <c r="C310" s="35" t="s">
        <v>1857</v>
      </c>
      <c r="D310" s="35" t="s">
        <v>1858</v>
      </c>
      <c r="E310" s="35">
        <v>0.63</v>
      </c>
      <c r="F310" s="34">
        <v>43553</v>
      </c>
    </row>
    <row r="311" spans="1:6" ht="15.75" x14ac:dyDescent="0.25">
      <c r="A311" s="35">
        <v>515130</v>
      </c>
      <c r="B311" s="35" t="s">
        <v>10</v>
      </c>
      <c r="C311" s="35" t="s">
        <v>7</v>
      </c>
      <c r="D311" s="35" t="s">
        <v>1859</v>
      </c>
      <c r="E311" s="35">
        <v>63</v>
      </c>
      <c r="F311" s="34">
        <v>43553</v>
      </c>
    </row>
    <row r="312" spans="1:6" ht="15.75" x14ac:dyDescent="0.25">
      <c r="A312" s="35">
        <v>515120</v>
      </c>
      <c r="B312" s="35" t="s">
        <v>9</v>
      </c>
      <c r="C312" s="35" t="s">
        <v>7</v>
      </c>
      <c r="D312" s="35" t="s">
        <v>1859</v>
      </c>
      <c r="E312" s="35">
        <v>269.35000000000002</v>
      </c>
      <c r="F312" s="34">
        <v>43553</v>
      </c>
    </row>
    <row r="313" spans="1:6" ht="15.75" x14ac:dyDescent="0.25">
      <c r="A313" s="35">
        <v>515420</v>
      </c>
      <c r="B313" s="35" t="s">
        <v>12</v>
      </c>
      <c r="C313" s="35" t="s">
        <v>7</v>
      </c>
      <c r="D313" s="35" t="s">
        <v>1859</v>
      </c>
      <c r="E313" s="35">
        <v>283.11</v>
      </c>
      <c r="F313" s="34">
        <v>43553</v>
      </c>
    </row>
    <row r="314" spans="1:6" ht="15.75" x14ac:dyDescent="0.25">
      <c r="A314" s="35">
        <v>515410</v>
      </c>
      <c r="B314" s="35" t="s">
        <v>11</v>
      </c>
      <c r="C314" s="35" t="s">
        <v>7</v>
      </c>
      <c r="D314" s="35" t="s">
        <v>1859</v>
      </c>
      <c r="E314" s="35">
        <v>302.10000000000002</v>
      </c>
      <c r="F314" s="34">
        <v>43553</v>
      </c>
    </row>
    <row r="315" spans="1:6" ht="15.75" x14ac:dyDescent="0.25">
      <c r="A315" s="35">
        <v>515530</v>
      </c>
      <c r="B315" s="35" t="s">
        <v>13</v>
      </c>
      <c r="C315" s="35" t="s">
        <v>7</v>
      </c>
      <c r="D315" s="35" t="s">
        <v>1859</v>
      </c>
      <c r="E315" s="35">
        <v>348.28</v>
      </c>
      <c r="F315" s="34">
        <v>43553</v>
      </c>
    </row>
    <row r="316" spans="1:6" ht="15.75" x14ac:dyDescent="0.25">
      <c r="A316" s="35">
        <v>511120</v>
      </c>
      <c r="B316" s="35" t="s">
        <v>6</v>
      </c>
      <c r="C316" s="35" t="s">
        <v>7</v>
      </c>
      <c r="D316" s="35" t="s">
        <v>1859</v>
      </c>
      <c r="E316" s="35">
        <v>4416.6400000000003</v>
      </c>
      <c r="F316" s="34">
        <v>43553</v>
      </c>
    </row>
    <row r="317" spans="1:6" ht="15.75" x14ac:dyDescent="0.25">
      <c r="A317" s="35">
        <v>558982</v>
      </c>
      <c r="B317" s="35" t="s">
        <v>819</v>
      </c>
      <c r="C317" s="35" t="s">
        <v>1860</v>
      </c>
      <c r="D317" s="35" t="s">
        <v>1861</v>
      </c>
      <c r="E317" s="35">
        <v>4673.8500000000004</v>
      </c>
      <c r="F317" s="34">
        <v>43553</v>
      </c>
    </row>
    <row r="318" spans="1:6" ht="15.75" x14ac:dyDescent="0.25">
      <c r="A318" s="35">
        <v>558982</v>
      </c>
      <c r="B318" s="35" t="s">
        <v>819</v>
      </c>
      <c r="C318" s="35" t="s">
        <v>1862</v>
      </c>
      <c r="D318" s="35" t="s">
        <v>1861</v>
      </c>
      <c r="E318" s="35">
        <v>4923.04</v>
      </c>
      <c r="F318" s="34">
        <v>43553</v>
      </c>
    </row>
    <row r="319" spans="1:6" ht="15.75" x14ac:dyDescent="0.25">
      <c r="A319" s="35">
        <v>558982</v>
      </c>
      <c r="B319" s="35" t="s">
        <v>819</v>
      </c>
      <c r="C319" s="35" t="s">
        <v>1857</v>
      </c>
      <c r="D319" s="35" t="s">
        <v>1858</v>
      </c>
      <c r="E319" s="35">
        <v>12673.82</v>
      </c>
      <c r="F319" s="34">
        <v>43553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E43EB-D962-43FB-A30C-19FCA060A6A3}">
  <dimension ref="A1:Q53"/>
  <sheetViews>
    <sheetView workbookViewId="0">
      <selection activeCell="B29" sqref="B29"/>
    </sheetView>
  </sheetViews>
  <sheetFormatPr defaultRowHeight="12.75" x14ac:dyDescent="0.2"/>
  <cols>
    <col min="1" max="2" width="40.7109375" style="106" customWidth="1"/>
    <col min="3" max="15" width="20.7109375" style="106" customWidth="1"/>
    <col min="16" max="16" width="20.7109375" style="4" customWidth="1"/>
    <col min="17" max="17" width="20.7109375" style="114" customWidth="1"/>
    <col min="18" max="18" width="10.28515625" style="106" bestFit="1" customWidth="1"/>
    <col min="19" max="16384" width="9.140625" style="106"/>
  </cols>
  <sheetData>
    <row r="1" spans="1:17" ht="13.5" thickBot="1" x14ac:dyDescent="0.25"/>
    <row r="2" spans="1:17" ht="12.75" customHeight="1" x14ac:dyDescent="0.2">
      <c r="A2" s="365" t="s">
        <v>2115</v>
      </c>
      <c r="B2" s="366"/>
      <c r="C2" s="366"/>
      <c r="D2" s="366"/>
      <c r="E2" s="366"/>
      <c r="F2" s="366"/>
      <c r="G2" s="366"/>
      <c r="H2" s="366"/>
      <c r="I2" s="366"/>
      <c r="J2" s="366"/>
      <c r="K2" s="366"/>
      <c r="L2" s="366"/>
      <c r="M2" s="366"/>
      <c r="N2" s="366"/>
      <c r="O2" s="366"/>
      <c r="P2" s="366"/>
      <c r="Q2" s="367"/>
    </row>
    <row r="3" spans="1:17" ht="12.75" customHeight="1" x14ac:dyDescent="0.2">
      <c r="A3" s="368"/>
      <c r="B3" s="354"/>
      <c r="C3" s="369"/>
      <c r="D3" s="369"/>
      <c r="E3" s="369"/>
      <c r="F3" s="369"/>
      <c r="G3" s="369"/>
      <c r="H3" s="369"/>
      <c r="I3" s="369"/>
      <c r="J3" s="369"/>
      <c r="K3" s="369"/>
      <c r="L3" s="369"/>
      <c r="M3" s="369"/>
      <c r="N3" s="369"/>
      <c r="O3" s="369"/>
      <c r="P3" s="369"/>
      <c r="Q3" s="370"/>
    </row>
    <row r="4" spans="1:17" s="110" customFormat="1" ht="15.75" x14ac:dyDescent="0.2">
      <c r="A4" s="107" t="s">
        <v>53</v>
      </c>
      <c r="B4" s="105" t="s">
        <v>1974</v>
      </c>
      <c r="C4" s="292" t="s">
        <v>2097</v>
      </c>
      <c r="D4" s="109" t="s">
        <v>2098</v>
      </c>
      <c r="E4" s="109" t="s">
        <v>2099</v>
      </c>
      <c r="F4" s="109" t="s">
        <v>2100</v>
      </c>
      <c r="G4" s="109" t="s">
        <v>2101</v>
      </c>
      <c r="H4" s="109" t="s">
        <v>2102</v>
      </c>
      <c r="I4" s="109" t="s">
        <v>2103</v>
      </c>
      <c r="J4" s="109" t="s">
        <v>2104</v>
      </c>
      <c r="K4" s="109" t="s">
        <v>2105</v>
      </c>
      <c r="L4" s="109" t="s">
        <v>2106</v>
      </c>
      <c r="M4" s="109" t="s">
        <v>2107</v>
      </c>
      <c r="N4" s="109" t="s">
        <v>2108</v>
      </c>
      <c r="O4" s="269" t="s">
        <v>2128</v>
      </c>
      <c r="P4" s="171" t="s">
        <v>2110</v>
      </c>
      <c r="Q4" s="200" t="s">
        <v>2109</v>
      </c>
    </row>
    <row r="5" spans="1:17" s="110" customFormat="1" ht="15.75" x14ac:dyDescent="0.2">
      <c r="A5" s="111"/>
      <c r="B5" s="1"/>
      <c r="C5" s="293"/>
      <c r="D5" s="112"/>
      <c r="E5" s="112"/>
      <c r="F5" s="112"/>
      <c r="G5" s="112"/>
      <c r="H5" s="112"/>
      <c r="I5" s="112"/>
      <c r="J5" s="112"/>
      <c r="K5" s="112"/>
      <c r="L5" s="112"/>
      <c r="M5" s="112"/>
      <c r="N5" s="112"/>
      <c r="O5" s="270"/>
      <c r="P5" s="172"/>
      <c r="Q5" s="173"/>
    </row>
    <row r="6" spans="1:17" x14ac:dyDescent="0.2">
      <c r="A6" s="216" t="s">
        <v>1979</v>
      </c>
      <c r="B6" s="216"/>
      <c r="C6" s="294"/>
      <c r="D6" s="148"/>
      <c r="E6" s="148"/>
      <c r="F6" s="148"/>
      <c r="G6" s="148"/>
      <c r="H6" s="148"/>
      <c r="I6" s="148"/>
      <c r="J6" s="148"/>
      <c r="K6" s="148"/>
      <c r="L6" s="148"/>
      <c r="M6" s="148"/>
      <c r="N6" s="148"/>
      <c r="O6" s="271"/>
      <c r="P6" s="175"/>
      <c r="Q6" s="158"/>
    </row>
    <row r="7" spans="1:17" ht="15.75" x14ac:dyDescent="0.2">
      <c r="A7" s="124"/>
      <c r="B7" s="124"/>
      <c r="C7" s="295"/>
      <c r="O7" s="272"/>
      <c r="P7" s="174"/>
    </row>
    <row r="8" spans="1:17" x14ac:dyDescent="0.2">
      <c r="A8" s="125" t="s">
        <v>132</v>
      </c>
      <c r="B8" s="149"/>
      <c r="C8" s="296"/>
      <c r="D8" s="149"/>
      <c r="E8" s="149"/>
      <c r="F8" s="149"/>
      <c r="G8" s="149"/>
      <c r="H8" s="149"/>
      <c r="I8" s="149"/>
      <c r="J8" s="149"/>
      <c r="K8" s="149"/>
      <c r="L8" s="149"/>
      <c r="M8" s="149"/>
      <c r="N8" s="149"/>
      <c r="O8" s="273"/>
      <c r="P8" s="176"/>
      <c r="Q8" s="156"/>
    </row>
    <row r="9" spans="1:17" x14ac:dyDescent="0.2">
      <c r="A9" s="218" t="str">
        <f>'FY2020 Monthly Detail'!A10</f>
        <v>(0.1) Reserves</v>
      </c>
      <c r="B9" s="208">
        <f>'FY2020 Monthly Detail'!C12</f>
        <v>209625.3</v>
      </c>
      <c r="C9" s="297">
        <f>'FY2020 Monthly Detail'!D12</f>
        <v>-5414.590000000002</v>
      </c>
      <c r="D9" s="208">
        <f>'FY2020 Monthly Detail'!E12</f>
        <v>12439.51</v>
      </c>
      <c r="E9" s="208">
        <f>'FY2020 Monthly Detail'!F12</f>
        <v>26711.519999999997</v>
      </c>
      <c r="F9" s="208">
        <f>'FY2020 Monthly Detail'!G12</f>
        <v>31072.759999999995</v>
      </c>
      <c r="G9" s="208">
        <f>'FY2020 Monthly Detail'!H12</f>
        <v>-20884.060000000001</v>
      </c>
      <c r="H9" s="208">
        <f>'FY2020 Monthly Detail'!I12</f>
        <v>-1285.4400000000005</v>
      </c>
      <c r="I9" s="208">
        <f>'FY2020 Monthly Detail'!J12</f>
        <v>-12695.67</v>
      </c>
      <c r="J9" s="208">
        <f>'FY2020 Monthly Detail'!K12</f>
        <v>61983.810000000012</v>
      </c>
      <c r="K9" s="208">
        <f>'FY2020 Monthly Detail'!L12</f>
        <v>-154119.1</v>
      </c>
      <c r="L9" s="208">
        <f>'FY2020 Monthly Detail'!M12</f>
        <v>64163</v>
      </c>
      <c r="M9" s="208">
        <f>'FY2020 Monthly Detail'!N12</f>
        <v>0</v>
      </c>
      <c r="N9" s="208">
        <f>'FY2020 Monthly Detail'!O12</f>
        <v>0</v>
      </c>
      <c r="O9" s="274"/>
      <c r="P9" s="209">
        <f>'FY2020 Monthly Detail'!P12</f>
        <v>1971.7399999999907</v>
      </c>
      <c r="Q9" s="208">
        <f>'FY2020 Monthly Detail'!Q12</f>
        <v>211597.03999999998</v>
      </c>
    </row>
    <row r="10" spans="1:17" x14ac:dyDescent="0.2">
      <c r="A10" s="218" t="str">
        <f>'FY2020 Monthly Detail'!A14</f>
        <v>(0.2) Capital</v>
      </c>
      <c r="B10" s="208">
        <f>'FY2020 Monthly Detail'!C17</f>
        <v>0</v>
      </c>
      <c r="C10" s="297">
        <f>'FY2020 Monthly Detail'!D17</f>
        <v>0</v>
      </c>
      <c r="D10" s="208">
        <f>'FY2020 Monthly Detail'!E17</f>
        <v>0</v>
      </c>
      <c r="E10" s="208">
        <f>'FY2020 Monthly Detail'!F17</f>
        <v>0</v>
      </c>
      <c r="F10" s="208">
        <f>'FY2020 Monthly Detail'!G17</f>
        <v>0</v>
      </c>
      <c r="G10" s="208">
        <f>'FY2020 Monthly Detail'!H17</f>
        <v>452.02</v>
      </c>
      <c r="H10" s="208">
        <f>'FY2020 Monthly Detail'!I17</f>
        <v>0</v>
      </c>
      <c r="I10" s="208">
        <f>'FY2020 Monthly Detail'!J17</f>
        <v>0</v>
      </c>
      <c r="J10" s="208">
        <f>'FY2020 Monthly Detail'!K17</f>
        <v>0</v>
      </c>
      <c r="K10" s="208">
        <f>'FY2020 Monthly Detail'!L17</f>
        <v>0</v>
      </c>
      <c r="L10" s="208">
        <f>'FY2020 Monthly Detail'!M17</f>
        <v>0</v>
      </c>
      <c r="M10" s="208">
        <f>'FY2020 Monthly Detail'!N17</f>
        <v>0</v>
      </c>
      <c r="N10" s="208">
        <f>'FY2020 Monthly Detail'!O17</f>
        <v>0</v>
      </c>
      <c r="O10" s="274"/>
      <c r="P10" s="209">
        <f>'FY2020 Monthly Detail'!P17</f>
        <v>452.02</v>
      </c>
      <c r="Q10" s="208">
        <f>'FY2020 Monthly Detail'!Q17</f>
        <v>452.02</v>
      </c>
    </row>
    <row r="11" spans="1:17" s="221" customFormat="1" x14ac:dyDescent="0.2">
      <c r="A11" s="129" t="s">
        <v>138</v>
      </c>
      <c r="B11" s="219">
        <f>'FY2020 Monthly Detail'!C19</f>
        <v>209625.3</v>
      </c>
      <c r="C11" s="298">
        <f>'FY2020 Monthly Detail'!D19</f>
        <v>-5414.590000000002</v>
      </c>
      <c r="D11" s="219">
        <f>'FY2020 Monthly Detail'!E19</f>
        <v>12439.51</v>
      </c>
      <c r="E11" s="219">
        <f>'FY2020 Monthly Detail'!F19</f>
        <v>26711.519999999997</v>
      </c>
      <c r="F11" s="219">
        <f>'FY2020 Monthly Detail'!G19</f>
        <v>31072.759999999995</v>
      </c>
      <c r="G11" s="219">
        <f>'FY2020 Monthly Detail'!H19</f>
        <v>-20432.04</v>
      </c>
      <c r="H11" s="219">
        <f>'FY2020 Monthly Detail'!I19</f>
        <v>-1285.4400000000005</v>
      </c>
      <c r="I11" s="219">
        <f>'FY2020 Monthly Detail'!J19</f>
        <v>-12695.67</v>
      </c>
      <c r="J11" s="219">
        <f>'FY2020 Monthly Detail'!K19</f>
        <v>61983.810000000012</v>
      </c>
      <c r="K11" s="219">
        <f>'FY2020 Monthly Detail'!L19</f>
        <v>-154119.1</v>
      </c>
      <c r="L11" s="219">
        <f>'FY2020 Monthly Detail'!M19</f>
        <v>64163</v>
      </c>
      <c r="M11" s="219">
        <f>'FY2020 Monthly Detail'!N19</f>
        <v>0</v>
      </c>
      <c r="N11" s="219">
        <f>'FY2020 Monthly Detail'!O19</f>
        <v>0</v>
      </c>
      <c r="O11" s="275"/>
      <c r="P11" s="220">
        <f>'FY2020 Monthly Detail'!P19</f>
        <v>2423.7599999999948</v>
      </c>
      <c r="Q11" s="219">
        <f>'FY2020 Monthly Detail'!Q19</f>
        <v>212049.06</v>
      </c>
    </row>
    <row r="12" spans="1:17" ht="15.75" x14ac:dyDescent="0.2">
      <c r="A12" s="1"/>
      <c r="B12" s="114"/>
      <c r="C12" s="299"/>
      <c r="O12" s="272"/>
      <c r="P12" s="174"/>
    </row>
    <row r="13" spans="1:17" x14ac:dyDescent="0.2">
      <c r="A13" s="130" t="s">
        <v>55</v>
      </c>
      <c r="B13" s="157"/>
      <c r="C13" s="300"/>
      <c r="D13" s="150"/>
      <c r="E13" s="150"/>
      <c r="F13" s="150"/>
      <c r="G13" s="150"/>
      <c r="H13" s="150"/>
      <c r="I13" s="150"/>
      <c r="J13" s="150"/>
      <c r="K13" s="150"/>
      <c r="L13" s="150"/>
      <c r="M13" s="150"/>
      <c r="N13" s="150"/>
      <c r="O13" s="276"/>
      <c r="P13" s="178"/>
      <c r="Q13" s="157"/>
    </row>
    <row r="14" spans="1:17" x14ac:dyDescent="0.2">
      <c r="A14" s="218" t="str">
        <f>'FY2020 Monthly Detail'!A23</f>
        <v>(1.1) Recurring</v>
      </c>
      <c r="B14" s="208">
        <f>'FY2020 Monthly Detail'!C27</f>
        <v>0</v>
      </c>
      <c r="C14" s="297">
        <f>'FY2020 Monthly Detail'!D27</f>
        <v>1077.0700000000002</v>
      </c>
      <c r="D14" s="208">
        <f>'FY2020 Monthly Detail'!E27</f>
        <v>20212.560000000001</v>
      </c>
      <c r="E14" s="208">
        <f>'FY2020 Monthly Detail'!F27</f>
        <v>46317.75</v>
      </c>
      <c r="F14" s="208">
        <f>'FY2020 Monthly Detail'!G27</f>
        <v>48127.839999999997</v>
      </c>
      <c r="G14" s="208">
        <f>'FY2020 Monthly Detail'!H27</f>
        <v>407.76</v>
      </c>
      <c r="H14" s="208">
        <f>'FY2020 Monthly Detail'!I27</f>
        <v>10888.55</v>
      </c>
      <c r="I14" s="208">
        <f>'FY2020 Monthly Detail'!J27</f>
        <v>390.65</v>
      </c>
      <c r="J14" s="208">
        <f>'FY2020 Monthly Detail'!K27</f>
        <v>80362.510000000009</v>
      </c>
      <c r="K14" s="208">
        <f>'FY2020 Monthly Detail'!L27</f>
        <v>5629.68</v>
      </c>
      <c r="L14" s="208">
        <f>'FY2020 Monthly Detail'!M27</f>
        <v>0</v>
      </c>
      <c r="M14" s="208">
        <f>'FY2020 Monthly Detail'!N27</f>
        <v>0</v>
      </c>
      <c r="N14" s="208">
        <f>'FY2020 Monthly Detail'!O27</f>
        <v>0</v>
      </c>
      <c r="O14" s="274"/>
      <c r="P14" s="209">
        <f>'FY2020 Monthly Detail'!P27</f>
        <v>213414.37</v>
      </c>
      <c r="Q14" s="158"/>
    </row>
    <row r="15" spans="1:17" x14ac:dyDescent="0.2">
      <c r="A15" s="218" t="str">
        <f>'FY2020 Monthly Detail'!A29</f>
        <v>(1.2) Non-Recurring</v>
      </c>
      <c r="B15" s="208">
        <f>'FY2020 Monthly Detail'!C32</f>
        <v>0</v>
      </c>
      <c r="C15" s="297">
        <f>'FY2020 Monthly Detail'!D32</f>
        <v>0</v>
      </c>
      <c r="D15" s="208">
        <f>'FY2020 Monthly Detail'!E32</f>
        <v>421</v>
      </c>
      <c r="E15" s="208">
        <f>'FY2020 Monthly Detail'!F32</f>
        <v>0</v>
      </c>
      <c r="F15" s="208">
        <f>'FY2020 Monthly Detail'!G32</f>
        <v>0</v>
      </c>
      <c r="G15" s="208">
        <f>'FY2020 Monthly Detail'!H32</f>
        <v>0</v>
      </c>
      <c r="H15" s="208">
        <f>'FY2020 Monthly Detail'!I32</f>
        <v>0</v>
      </c>
      <c r="I15" s="208">
        <f>'FY2020 Monthly Detail'!J32</f>
        <v>0</v>
      </c>
      <c r="J15" s="208">
        <f>'FY2020 Monthly Detail'!K32</f>
        <v>0</v>
      </c>
      <c r="K15" s="208">
        <f>'FY2020 Monthly Detail'!L32</f>
        <v>0</v>
      </c>
      <c r="L15" s="208">
        <f>'FY2020 Monthly Detail'!M32</f>
        <v>0</v>
      </c>
      <c r="M15" s="208">
        <f>'FY2020 Monthly Detail'!N32</f>
        <v>0</v>
      </c>
      <c r="N15" s="208">
        <f>'FY2020 Monthly Detail'!O32</f>
        <v>0</v>
      </c>
      <c r="O15" s="274"/>
      <c r="P15" s="209">
        <f>'FY2020 Monthly Detail'!P32</f>
        <v>421</v>
      </c>
      <c r="Q15" s="158"/>
    </row>
    <row r="16" spans="1:17" s="221" customFormat="1" x14ac:dyDescent="0.2">
      <c r="A16" s="132" t="s">
        <v>62</v>
      </c>
      <c r="B16" s="222">
        <f>'FY2020 Monthly Detail'!C34</f>
        <v>0</v>
      </c>
      <c r="C16" s="301">
        <f>'FY2020 Monthly Detail'!D34</f>
        <v>1077.0700000000002</v>
      </c>
      <c r="D16" s="222">
        <f>'FY2020 Monthly Detail'!E34</f>
        <v>20633.560000000001</v>
      </c>
      <c r="E16" s="222">
        <f>'FY2020 Monthly Detail'!F34</f>
        <v>46317.75</v>
      </c>
      <c r="F16" s="222">
        <f>'FY2020 Monthly Detail'!G34</f>
        <v>48127.839999999997</v>
      </c>
      <c r="G16" s="222">
        <f>'FY2020 Monthly Detail'!H34</f>
        <v>407.76</v>
      </c>
      <c r="H16" s="222">
        <f>'FY2020 Monthly Detail'!I34</f>
        <v>10888.55</v>
      </c>
      <c r="I16" s="222">
        <f>'FY2020 Monthly Detail'!J34</f>
        <v>390.65</v>
      </c>
      <c r="J16" s="222">
        <f>'FY2020 Monthly Detail'!K34</f>
        <v>80362.510000000009</v>
      </c>
      <c r="K16" s="222">
        <f>'FY2020 Monthly Detail'!L34</f>
        <v>5629.68</v>
      </c>
      <c r="L16" s="222">
        <f>'FY2020 Monthly Detail'!M34</f>
        <v>0</v>
      </c>
      <c r="M16" s="222">
        <f>'FY2020 Monthly Detail'!N34</f>
        <v>0</v>
      </c>
      <c r="N16" s="222">
        <f>'FY2020 Monthly Detail'!O34</f>
        <v>0</v>
      </c>
      <c r="O16" s="277"/>
      <c r="P16" s="223">
        <f>'FY2020 Monthly Detail'!P34</f>
        <v>213835.37</v>
      </c>
      <c r="Q16" s="222"/>
    </row>
    <row r="17" spans="1:17" ht="15.75" x14ac:dyDescent="0.2">
      <c r="A17" s="1"/>
      <c r="B17" s="114"/>
      <c r="C17" s="299"/>
      <c r="O17" s="272"/>
      <c r="P17" s="174"/>
    </row>
    <row r="18" spans="1:17" x14ac:dyDescent="0.2">
      <c r="A18" s="216" t="s">
        <v>169</v>
      </c>
      <c r="B18" s="158">
        <f>'FY2020 July Account'!D36</f>
        <v>0</v>
      </c>
      <c r="C18" s="302">
        <f>'FY2020 July Account'!E36</f>
        <v>0</v>
      </c>
      <c r="D18" s="148"/>
      <c r="E18" s="148"/>
      <c r="F18" s="148"/>
      <c r="G18" s="148"/>
      <c r="H18" s="148"/>
      <c r="I18" s="148"/>
      <c r="J18" s="148"/>
      <c r="K18" s="148"/>
      <c r="L18" s="148"/>
      <c r="M18" s="148"/>
      <c r="N18" s="148"/>
      <c r="O18" s="271"/>
      <c r="P18" s="175">
        <f t="shared" ref="P18" si="0">SUM(C18:N18)</f>
        <v>0</v>
      </c>
      <c r="Q18" s="158" t="e">
        <f>#REF!-P18</f>
        <v>#REF!</v>
      </c>
    </row>
    <row r="19" spans="1:17" ht="15.75" x14ac:dyDescent="0.2">
      <c r="A19" s="1"/>
      <c r="B19" s="114"/>
      <c r="C19" s="299"/>
      <c r="O19" s="272"/>
      <c r="P19" s="174"/>
    </row>
    <row r="20" spans="1:17" x14ac:dyDescent="0.2">
      <c r="A20" s="151" t="s">
        <v>63</v>
      </c>
      <c r="B20" s="159"/>
      <c r="C20" s="303"/>
      <c r="D20" s="153"/>
      <c r="E20" s="153"/>
      <c r="F20" s="153"/>
      <c r="G20" s="153"/>
      <c r="H20" s="153"/>
      <c r="I20" s="153"/>
      <c r="J20" s="153"/>
      <c r="K20" s="153"/>
      <c r="L20" s="153"/>
      <c r="M20" s="153"/>
      <c r="N20" s="153"/>
      <c r="O20" s="278"/>
      <c r="P20" s="179"/>
      <c r="Q20" s="159"/>
    </row>
    <row r="21" spans="1:17" x14ac:dyDescent="0.2">
      <c r="A21" s="218" t="str">
        <f>'FY2020 Monthly Detail'!A40</f>
        <v>(2.1) Officers</v>
      </c>
      <c r="B21" s="208">
        <f>'FY2020 Monthly Detail'!C50</f>
        <v>24750</v>
      </c>
      <c r="C21" s="297">
        <f>'FY2020 Monthly Detail'!D50</f>
        <v>0</v>
      </c>
      <c r="D21" s="208">
        <f>'FY2020 Monthly Detail'!E50</f>
        <v>2475</v>
      </c>
      <c r="E21" s="208">
        <f>'FY2020 Monthly Detail'!F50</f>
        <v>2475</v>
      </c>
      <c r="F21" s="208">
        <f>'FY2020 Monthly Detail'!G50</f>
        <v>2475</v>
      </c>
      <c r="G21" s="208">
        <f>'FY2020 Monthly Detail'!H50</f>
        <v>2475</v>
      </c>
      <c r="H21" s="208">
        <f>'FY2020 Monthly Detail'!I50</f>
        <v>2475</v>
      </c>
      <c r="I21" s="208">
        <f>'FY2020 Monthly Detail'!J50</f>
        <v>2475</v>
      </c>
      <c r="J21" s="208">
        <f>'FY2020 Monthly Detail'!K50</f>
        <v>2475</v>
      </c>
      <c r="K21" s="208">
        <f>'FY2020 Monthly Detail'!L50</f>
        <v>2475</v>
      </c>
      <c r="L21" s="208">
        <f>'FY2020 Monthly Detail'!M50</f>
        <v>0</v>
      </c>
      <c r="M21" s="208">
        <f>'FY2020 Monthly Detail'!N50</f>
        <v>0</v>
      </c>
      <c r="N21" s="208">
        <f>'FY2020 Monthly Detail'!O50</f>
        <v>0</v>
      </c>
      <c r="O21" s="274"/>
      <c r="P21" s="209">
        <f>'FY2020 Monthly Detail'!P50</f>
        <v>19800</v>
      </c>
      <c r="Q21" s="208">
        <f>'FY2020 Monthly Detail'!Q50</f>
        <v>4950</v>
      </c>
    </row>
    <row r="22" spans="1:17" x14ac:dyDescent="0.2">
      <c r="A22" s="218" t="str">
        <f>'FY2020 Monthly Detail'!A52</f>
        <v>(2.2) Professional Staff</v>
      </c>
      <c r="B22" s="208">
        <f>'FY2020 Monthly Detail'!C58</f>
        <v>69429.16</v>
      </c>
      <c r="C22" s="297">
        <f>'FY2020 Monthly Detail'!D58</f>
        <v>5682.4800000000014</v>
      </c>
      <c r="D22" s="208">
        <f>'FY2020 Monthly Detail'!E58</f>
        <v>5682.4700000000012</v>
      </c>
      <c r="E22" s="208">
        <f>'FY2020 Monthly Detail'!F58</f>
        <v>5689.5400000000009</v>
      </c>
      <c r="F22" s="208">
        <f>'FY2020 Monthly Detail'!G58</f>
        <v>5703.6600000000008</v>
      </c>
      <c r="G22" s="208">
        <f>'FY2020 Monthly Detail'!H58</f>
        <v>5689.5400000000009</v>
      </c>
      <c r="H22" s="208">
        <f>'FY2020 Monthly Detail'!I58</f>
        <v>5698.7500000000009</v>
      </c>
      <c r="I22" s="208">
        <f>'FY2020 Monthly Detail'!J58</f>
        <v>5698.67</v>
      </c>
      <c r="J22" s="208">
        <f>'FY2020 Monthly Detail'!K58</f>
        <v>5698.67</v>
      </c>
      <c r="K22" s="208">
        <f>'FY2020 Monthly Detail'!L58</f>
        <v>5698.67</v>
      </c>
      <c r="L22" s="208">
        <f>'FY2020 Monthly Detail'!M58</f>
        <v>0</v>
      </c>
      <c r="M22" s="208">
        <f>'FY2020 Monthly Detail'!N58</f>
        <v>0</v>
      </c>
      <c r="N22" s="208">
        <f>'FY2020 Monthly Detail'!O58</f>
        <v>0</v>
      </c>
      <c r="O22" s="274"/>
      <c r="P22" s="209">
        <f>'FY2020 Monthly Detail'!P58</f>
        <v>51242.450000000004</v>
      </c>
      <c r="Q22" s="208">
        <f>'FY2020 Monthly Detail'!Q58</f>
        <v>18186.71</v>
      </c>
    </row>
    <row r="23" spans="1:17" x14ac:dyDescent="0.2">
      <c r="A23" s="218" t="str">
        <f>'FY2020 Monthly Detail'!A60</f>
        <v>(2.3) Delegates</v>
      </c>
      <c r="B23" s="208">
        <f>'FY2020 Monthly Detail'!C62</f>
        <v>17000</v>
      </c>
      <c r="C23" s="297">
        <f>'FY2020 Monthly Detail'!D62</f>
        <v>0</v>
      </c>
      <c r="D23" s="208">
        <f>'FY2020 Monthly Detail'!E62</f>
        <v>0</v>
      </c>
      <c r="E23" s="208">
        <f>'FY2020 Monthly Detail'!F62</f>
        <v>0</v>
      </c>
      <c r="F23" s="208">
        <f>'FY2020 Monthly Detail'!G62</f>
        <v>2125</v>
      </c>
      <c r="G23" s="208">
        <f>'FY2020 Monthly Detail'!H62</f>
        <v>2125</v>
      </c>
      <c r="H23" s="208">
        <f>'FY2020 Monthly Detail'!I62</f>
        <v>2125</v>
      </c>
      <c r="I23" s="208">
        <f>'FY2020 Monthly Detail'!J62</f>
        <v>2125</v>
      </c>
      <c r="J23" s="208">
        <f>'FY2020 Monthly Detail'!K62</f>
        <v>2125</v>
      </c>
      <c r="K23" s="208">
        <f>'FY2020 Monthly Detail'!L62</f>
        <v>2125</v>
      </c>
      <c r="L23" s="208">
        <f>'FY2020 Monthly Detail'!M62</f>
        <v>0</v>
      </c>
      <c r="M23" s="208">
        <f>'FY2020 Monthly Detail'!N62</f>
        <v>0</v>
      </c>
      <c r="N23" s="208">
        <f>'FY2020 Monthly Detail'!O62</f>
        <v>0</v>
      </c>
      <c r="O23" s="274"/>
      <c r="P23" s="209">
        <f>'FY2020 Monthly Detail'!P62</f>
        <v>12750</v>
      </c>
      <c r="Q23" s="208">
        <f>'FY2020 Monthly Detail'!Q62</f>
        <v>4250</v>
      </c>
    </row>
    <row r="24" spans="1:17" s="221" customFormat="1" x14ac:dyDescent="0.2">
      <c r="A24" s="154" t="s">
        <v>85</v>
      </c>
      <c r="B24" s="224">
        <f>'FY2020 Monthly Detail'!C64</f>
        <v>111179.16</v>
      </c>
      <c r="C24" s="304">
        <f>'FY2020 Monthly Detail'!D64</f>
        <v>5682.4800000000014</v>
      </c>
      <c r="D24" s="224">
        <f>'FY2020 Monthly Detail'!E64</f>
        <v>8157.4700000000012</v>
      </c>
      <c r="E24" s="224">
        <f>'FY2020 Monthly Detail'!F64</f>
        <v>8164.5400000000009</v>
      </c>
      <c r="F24" s="224">
        <f>'FY2020 Monthly Detail'!G64</f>
        <v>10303.66</v>
      </c>
      <c r="G24" s="224">
        <f>'FY2020 Monthly Detail'!H64</f>
        <v>10289.540000000001</v>
      </c>
      <c r="H24" s="224">
        <f>'FY2020 Monthly Detail'!I64</f>
        <v>10298.75</v>
      </c>
      <c r="I24" s="224">
        <f>'FY2020 Monthly Detail'!J64</f>
        <v>10298.67</v>
      </c>
      <c r="J24" s="224">
        <f>'FY2020 Monthly Detail'!K64</f>
        <v>10298.67</v>
      </c>
      <c r="K24" s="224">
        <f>'FY2020 Monthly Detail'!L64</f>
        <v>10298.67</v>
      </c>
      <c r="L24" s="224">
        <f>'FY2020 Monthly Detail'!M64</f>
        <v>0</v>
      </c>
      <c r="M24" s="224">
        <f>'FY2020 Monthly Detail'!N64</f>
        <v>0</v>
      </c>
      <c r="N24" s="224">
        <f>'FY2020 Monthly Detail'!O64</f>
        <v>0</v>
      </c>
      <c r="O24" s="279"/>
      <c r="P24" s="225">
        <f>'FY2020 Monthly Detail'!P64</f>
        <v>83792.45</v>
      </c>
      <c r="Q24" s="224">
        <f>'FY2020 Monthly Detail'!Q64</f>
        <v>27386.710000000006</v>
      </c>
    </row>
    <row r="25" spans="1:17" x14ac:dyDescent="0.2">
      <c r="A25" s="3"/>
      <c r="B25" s="114"/>
      <c r="C25" s="299"/>
      <c r="O25" s="272"/>
      <c r="P25" s="174"/>
    </row>
    <row r="26" spans="1:17" x14ac:dyDescent="0.2">
      <c r="A26" s="134" t="s">
        <v>130</v>
      </c>
      <c r="B26" s="160"/>
      <c r="C26" s="305"/>
      <c r="D26" s="116"/>
      <c r="E26" s="116"/>
      <c r="F26" s="116"/>
      <c r="G26" s="116"/>
      <c r="H26" s="116"/>
      <c r="I26" s="116"/>
      <c r="J26" s="116"/>
      <c r="K26" s="116"/>
      <c r="L26" s="116"/>
      <c r="M26" s="116"/>
      <c r="N26" s="116"/>
      <c r="O26" s="280"/>
      <c r="P26" s="180"/>
      <c r="Q26" s="160"/>
    </row>
    <row r="27" spans="1:17" x14ac:dyDescent="0.2">
      <c r="A27" s="218" t="str">
        <f>'FY2020 Monthly Detail'!A68</f>
        <v>(3.1) Office</v>
      </c>
      <c r="B27" s="208">
        <f>'FY2020 Monthly Detail'!C71</f>
        <v>1174</v>
      </c>
      <c r="C27" s="297">
        <f>'FY2020 Monthly Detail'!D71</f>
        <v>0</v>
      </c>
      <c r="D27" s="208">
        <f>'FY2020 Monthly Detail'!E71</f>
        <v>7.58</v>
      </c>
      <c r="E27" s="208">
        <f>'FY2020 Monthly Detail'!F71</f>
        <v>57.099999999999994</v>
      </c>
      <c r="F27" s="208">
        <f>'FY2020 Monthly Detail'!G71</f>
        <v>32.56</v>
      </c>
      <c r="G27" s="208">
        <f>'FY2020 Monthly Detail'!H71</f>
        <v>0</v>
      </c>
      <c r="H27" s="208">
        <f>'FY2020 Monthly Detail'!I71</f>
        <v>61.75</v>
      </c>
      <c r="I27" s="208">
        <f>'FY2020 Monthly Detail'!J71</f>
        <v>243.54000000000002</v>
      </c>
      <c r="J27" s="208">
        <f>'FY2020 Monthly Detail'!K71</f>
        <v>0</v>
      </c>
      <c r="K27" s="208">
        <f>'FY2020 Monthly Detail'!L71</f>
        <v>0</v>
      </c>
      <c r="L27" s="208">
        <f>'FY2020 Monthly Detail'!M71</f>
        <v>0</v>
      </c>
      <c r="M27" s="208">
        <f>'FY2020 Monthly Detail'!N71</f>
        <v>0</v>
      </c>
      <c r="N27" s="208">
        <f>'FY2020 Monthly Detail'!O71</f>
        <v>0</v>
      </c>
      <c r="O27" s="274"/>
      <c r="P27" s="209">
        <f>'FY2020 Monthly Detail'!P71</f>
        <v>402.53000000000003</v>
      </c>
      <c r="Q27" s="208">
        <f>'FY2020 Monthly Detail'!Q71</f>
        <v>771.47</v>
      </c>
    </row>
    <row r="28" spans="1:17" x14ac:dyDescent="0.2">
      <c r="A28" s="218" t="str">
        <f>'FY2020 Monthly Detail'!A73</f>
        <v>(3.2) Information Technology</v>
      </c>
      <c r="B28" s="208">
        <f>'FY2020 Monthly Detail'!C77</f>
        <v>1632</v>
      </c>
      <c r="C28" s="297">
        <f>'FY2020 Monthly Detail'!D77</f>
        <v>0</v>
      </c>
      <c r="D28" s="208">
        <f>'FY2020 Monthly Detail'!E77</f>
        <v>0</v>
      </c>
      <c r="E28" s="208">
        <f>'FY2020 Monthly Detail'!F77</f>
        <v>0</v>
      </c>
      <c r="F28" s="208">
        <f>'FY2020 Monthly Detail'!G77</f>
        <v>0</v>
      </c>
      <c r="G28" s="208">
        <f>'FY2020 Monthly Detail'!H77</f>
        <v>452.02</v>
      </c>
      <c r="H28" s="208">
        <f>'FY2020 Monthly Detail'!I77</f>
        <v>0</v>
      </c>
      <c r="I28" s="208">
        <f>'FY2020 Monthly Detail'!J77</f>
        <v>0</v>
      </c>
      <c r="J28" s="208">
        <f>'FY2020 Monthly Detail'!K77</f>
        <v>0</v>
      </c>
      <c r="K28" s="208">
        <f>'FY2020 Monthly Detail'!L77</f>
        <v>0</v>
      </c>
      <c r="L28" s="208">
        <f>'FY2020 Monthly Detail'!M77</f>
        <v>132</v>
      </c>
      <c r="M28" s="208">
        <f>'FY2020 Monthly Detail'!N77</f>
        <v>0</v>
      </c>
      <c r="N28" s="208">
        <f>'FY2020 Monthly Detail'!O77</f>
        <v>0</v>
      </c>
      <c r="O28" s="274"/>
      <c r="P28" s="209">
        <f>'FY2020 Monthly Detail'!P77</f>
        <v>584.02</v>
      </c>
      <c r="Q28" s="208">
        <f>'FY2020 Monthly Detail'!Q77</f>
        <v>1047.98</v>
      </c>
    </row>
    <row r="29" spans="1:17" s="221" customFormat="1" x14ac:dyDescent="0.2">
      <c r="A29" s="136" t="s">
        <v>95</v>
      </c>
      <c r="B29" s="226">
        <f>'FY2020 Monthly Detail'!C79</f>
        <v>2806</v>
      </c>
      <c r="C29" s="306">
        <f>'FY2020 Monthly Detail'!D79</f>
        <v>0</v>
      </c>
      <c r="D29" s="226">
        <f>'FY2020 Monthly Detail'!E79</f>
        <v>7.58</v>
      </c>
      <c r="E29" s="226">
        <f>'FY2020 Monthly Detail'!F79</f>
        <v>57.099999999999994</v>
      </c>
      <c r="F29" s="226">
        <f>'FY2020 Monthly Detail'!G79</f>
        <v>32.56</v>
      </c>
      <c r="G29" s="226">
        <f>'FY2020 Monthly Detail'!H79</f>
        <v>452.02</v>
      </c>
      <c r="H29" s="226">
        <f>'FY2020 Monthly Detail'!I79</f>
        <v>61.75</v>
      </c>
      <c r="I29" s="226">
        <f>'FY2020 Monthly Detail'!J79</f>
        <v>243.54000000000002</v>
      </c>
      <c r="J29" s="226">
        <f>'FY2020 Monthly Detail'!K79</f>
        <v>0</v>
      </c>
      <c r="K29" s="226">
        <f>'FY2020 Monthly Detail'!L79</f>
        <v>0</v>
      </c>
      <c r="L29" s="226">
        <f>'FY2020 Monthly Detail'!M79</f>
        <v>132</v>
      </c>
      <c r="M29" s="226">
        <f>'FY2020 Monthly Detail'!N79</f>
        <v>0</v>
      </c>
      <c r="N29" s="226">
        <f>'FY2020 Monthly Detail'!O79</f>
        <v>0</v>
      </c>
      <c r="O29" s="281"/>
      <c r="P29" s="117">
        <f>'FY2020 Monthly Detail'!P79</f>
        <v>986.55</v>
      </c>
      <c r="Q29" s="226">
        <f>'FY2020 Monthly Detail'!Q79</f>
        <v>1819.45</v>
      </c>
    </row>
    <row r="30" spans="1:17" x14ac:dyDescent="0.2">
      <c r="A30" s="3"/>
      <c r="B30" s="114"/>
      <c r="C30" s="299"/>
      <c r="O30" s="272"/>
      <c r="P30" s="174"/>
    </row>
    <row r="31" spans="1:17" x14ac:dyDescent="0.2">
      <c r="A31" s="137" t="s">
        <v>96</v>
      </c>
      <c r="B31" s="161"/>
      <c r="C31" s="307"/>
      <c r="D31" s="118"/>
      <c r="E31" s="118"/>
      <c r="F31" s="118"/>
      <c r="G31" s="118"/>
      <c r="H31" s="118"/>
      <c r="I31" s="118"/>
      <c r="J31" s="118"/>
      <c r="K31" s="118"/>
      <c r="L31" s="118"/>
      <c r="M31" s="118"/>
      <c r="N31" s="118"/>
      <c r="O31" s="282"/>
      <c r="P31" s="181"/>
      <c r="Q31" s="161"/>
    </row>
    <row r="32" spans="1:17" x14ac:dyDescent="0.2">
      <c r="A32" s="218" t="str">
        <f>'FY2020 Monthly Detail'!A83</f>
        <v>(4.1) Business Meetings</v>
      </c>
      <c r="B32" s="208">
        <f>'FY2020 Monthly Detail'!C87</f>
        <v>59500</v>
      </c>
      <c r="C32" s="297">
        <f>'FY2020 Monthly Detail'!D87</f>
        <v>0</v>
      </c>
      <c r="D32" s="208">
        <f>'FY2020 Monthly Detail'!E87</f>
        <v>29</v>
      </c>
      <c r="E32" s="208">
        <f>'FY2020 Monthly Detail'!F87</f>
        <v>3993.42</v>
      </c>
      <c r="F32" s="208">
        <f>'FY2020 Monthly Detail'!G87</f>
        <v>6718.8600000000006</v>
      </c>
      <c r="G32" s="208">
        <f>'FY2020 Monthly Detail'!H87</f>
        <v>10300.26</v>
      </c>
      <c r="H32" s="208">
        <f>'FY2020 Monthly Detail'!I87</f>
        <v>1611.02</v>
      </c>
      <c r="I32" s="208">
        <f>'FY2020 Monthly Detail'!J87</f>
        <v>1536.47</v>
      </c>
      <c r="J32" s="208">
        <f>'FY2020 Monthly Detail'!K87</f>
        <v>6088.6200000000008</v>
      </c>
      <c r="K32" s="208">
        <f>'FY2020 Monthly Detail'!L87</f>
        <v>29222.35</v>
      </c>
      <c r="L32" s="208">
        <f>'FY2020 Monthly Detail'!M87</f>
        <v>0</v>
      </c>
      <c r="M32" s="208">
        <f>'FY2020 Monthly Detail'!N87</f>
        <v>0</v>
      </c>
      <c r="N32" s="208">
        <f>'FY2020 Monthly Detail'!O87</f>
        <v>0</v>
      </c>
      <c r="O32" s="274"/>
      <c r="P32" s="209">
        <f>'FY2020 Monthly Detail'!P87</f>
        <v>59500</v>
      </c>
      <c r="Q32" s="208">
        <f>'FY2020 Monthly Detail'!Q87</f>
        <v>0</v>
      </c>
    </row>
    <row r="33" spans="1:17" x14ac:dyDescent="0.2">
      <c r="A33" s="218" t="str">
        <f>'FY2020 Monthly Detail'!A89</f>
        <v>(4.2) Special Events</v>
      </c>
      <c r="B33" s="208">
        <f>'FY2020 Monthly Detail'!C93</f>
        <v>8000</v>
      </c>
      <c r="C33" s="297">
        <f>'FY2020 Monthly Detail'!D93</f>
        <v>809.18</v>
      </c>
      <c r="D33" s="208">
        <f>'FY2020 Monthly Detail'!E93</f>
        <v>0</v>
      </c>
      <c r="E33" s="208">
        <f>'FY2020 Monthly Detail'!F93</f>
        <v>0</v>
      </c>
      <c r="F33" s="208">
        <f>'FY2020 Monthly Detail'!G93</f>
        <v>0</v>
      </c>
      <c r="G33" s="208">
        <f>'FY2020 Monthly Detail'!H93</f>
        <v>0</v>
      </c>
      <c r="H33" s="208">
        <f>'FY2020 Monthly Detail'!I93</f>
        <v>0</v>
      </c>
      <c r="I33" s="208">
        <f>'FY2020 Monthly Detail'!J93</f>
        <v>0</v>
      </c>
      <c r="J33" s="208">
        <f>'FY2020 Monthly Detail'!K93</f>
        <v>0</v>
      </c>
      <c r="K33" s="208">
        <f>'FY2020 Monthly Detail'!L93</f>
        <v>7190.82</v>
      </c>
      <c r="L33" s="208">
        <f>'FY2020 Monthly Detail'!M93</f>
        <v>0</v>
      </c>
      <c r="M33" s="208">
        <f>'FY2020 Monthly Detail'!N93</f>
        <v>0</v>
      </c>
      <c r="N33" s="208">
        <f>'FY2020 Monthly Detail'!O93</f>
        <v>0</v>
      </c>
      <c r="O33" s="274"/>
      <c r="P33" s="209">
        <f>'FY2020 Monthly Detail'!P93</f>
        <v>8000</v>
      </c>
      <c r="Q33" s="208">
        <f>'FY2020 Monthly Detail'!Q93</f>
        <v>0</v>
      </c>
    </row>
    <row r="34" spans="1:17" s="221" customFormat="1" x14ac:dyDescent="0.2">
      <c r="A34" s="139" t="s">
        <v>106</v>
      </c>
      <c r="B34" s="227">
        <f>'FY2020 Monthly Detail'!C95</f>
        <v>67500</v>
      </c>
      <c r="C34" s="308">
        <f>'FY2020 Monthly Detail'!D95</f>
        <v>809.18</v>
      </c>
      <c r="D34" s="227">
        <f>'FY2020 Monthly Detail'!E95</f>
        <v>29</v>
      </c>
      <c r="E34" s="227">
        <f>'FY2020 Monthly Detail'!F95</f>
        <v>3993.42</v>
      </c>
      <c r="F34" s="227">
        <f>'FY2020 Monthly Detail'!G95</f>
        <v>6718.8600000000006</v>
      </c>
      <c r="G34" s="227">
        <f>'FY2020 Monthly Detail'!H95</f>
        <v>10300.26</v>
      </c>
      <c r="H34" s="227">
        <f>'FY2020 Monthly Detail'!I95</f>
        <v>1611.02</v>
      </c>
      <c r="I34" s="227">
        <f>'FY2020 Monthly Detail'!J95</f>
        <v>1536.47</v>
      </c>
      <c r="J34" s="227">
        <f>'FY2020 Monthly Detail'!K95</f>
        <v>6088.6200000000008</v>
      </c>
      <c r="K34" s="227">
        <f>'FY2020 Monthly Detail'!L95</f>
        <v>36413.17</v>
      </c>
      <c r="L34" s="227">
        <f>'FY2020 Monthly Detail'!M95</f>
        <v>0</v>
      </c>
      <c r="M34" s="227">
        <f>'FY2020 Monthly Detail'!N95</f>
        <v>0</v>
      </c>
      <c r="N34" s="227">
        <f>'FY2020 Monthly Detail'!O95</f>
        <v>0</v>
      </c>
      <c r="O34" s="283"/>
      <c r="P34" s="119">
        <f>'FY2020 Monthly Detail'!P95</f>
        <v>67500</v>
      </c>
      <c r="Q34" s="227">
        <f>'FY2020 Monthly Detail'!Q95</f>
        <v>0</v>
      </c>
    </row>
    <row r="35" spans="1:17" x14ac:dyDescent="0.2">
      <c r="A35" s="3"/>
      <c r="B35" s="114"/>
      <c r="C35" s="299"/>
      <c r="O35" s="272"/>
      <c r="P35" s="174"/>
    </row>
    <row r="36" spans="1:17" x14ac:dyDescent="0.2">
      <c r="A36" s="140" t="s">
        <v>107</v>
      </c>
      <c r="B36" s="162"/>
      <c r="C36" s="309"/>
      <c r="D36" s="120"/>
      <c r="E36" s="120"/>
      <c r="F36" s="120"/>
      <c r="G36" s="120"/>
      <c r="H36" s="120"/>
      <c r="I36" s="120"/>
      <c r="J36" s="120"/>
      <c r="K36" s="120"/>
      <c r="L36" s="120"/>
      <c r="M36" s="120"/>
      <c r="N36" s="120"/>
      <c r="O36" s="284"/>
      <c r="P36" s="182"/>
      <c r="Q36" s="162"/>
    </row>
    <row r="37" spans="1:17" x14ac:dyDescent="0.2">
      <c r="A37" s="218" t="str">
        <f>'FY2020 Monthly Detail'!A99</f>
        <v>(5.1) Advocacy</v>
      </c>
      <c r="B37" s="208">
        <f>'FY2020 Monthly Detail'!C101</f>
        <v>3250</v>
      </c>
      <c r="C37" s="297">
        <f>'FY2020 Monthly Detail'!D101</f>
        <v>0</v>
      </c>
      <c r="D37" s="208">
        <f>'FY2020 Monthly Detail'!E101</f>
        <v>0</v>
      </c>
      <c r="E37" s="208">
        <f>'FY2020 Monthly Detail'!F101</f>
        <v>0</v>
      </c>
      <c r="F37" s="208">
        <f>'FY2020 Monthly Detail'!G101</f>
        <v>0</v>
      </c>
      <c r="G37" s="208">
        <f>'FY2020 Monthly Detail'!H101</f>
        <v>0</v>
      </c>
      <c r="H37" s="208">
        <f>'FY2020 Monthly Detail'!I101</f>
        <v>0</v>
      </c>
      <c r="I37" s="208">
        <f>'FY2020 Monthly Detail'!J101</f>
        <v>0</v>
      </c>
      <c r="J37" s="208">
        <f>'FY2020 Monthly Detail'!K101</f>
        <v>825</v>
      </c>
      <c r="K37" s="208">
        <f>'FY2020 Monthly Detail'!L101</f>
        <v>2425</v>
      </c>
      <c r="L37" s="208">
        <f>'FY2020 Monthly Detail'!M101</f>
        <v>0</v>
      </c>
      <c r="M37" s="208">
        <f>'FY2020 Monthly Detail'!N101</f>
        <v>0</v>
      </c>
      <c r="N37" s="208">
        <f>'FY2020 Monthly Detail'!O101</f>
        <v>0</v>
      </c>
      <c r="O37" s="274"/>
      <c r="P37" s="209">
        <f>'FY2020 Monthly Detail'!P101</f>
        <v>3250</v>
      </c>
      <c r="Q37" s="208">
        <f>'FY2020 Monthly Detail'!Q101</f>
        <v>0</v>
      </c>
    </row>
    <row r="38" spans="1:17" x14ac:dyDescent="0.2">
      <c r="A38" s="218" t="str">
        <f>'FY2020 Monthly Detail'!A103</f>
        <v>(5.2) Grant Funds</v>
      </c>
      <c r="B38" s="208">
        <f>'FY2020 Monthly Detail'!C106</f>
        <v>37000</v>
      </c>
      <c r="C38" s="297">
        <f>'FY2020 Monthly Detail'!D106</f>
        <v>0</v>
      </c>
      <c r="D38" s="208">
        <f>'FY2020 Monthly Detail'!E106</f>
        <v>0</v>
      </c>
      <c r="E38" s="208">
        <f>'FY2020 Monthly Detail'!F106</f>
        <v>0</v>
      </c>
      <c r="F38" s="208">
        <f>'FY2020 Monthly Detail'!G106</f>
        <v>0</v>
      </c>
      <c r="G38" s="208">
        <f>'FY2020 Monthly Detail'!H106</f>
        <v>250</v>
      </c>
      <c r="H38" s="208">
        <f>'FY2020 Monthly Detail'!I106</f>
        <v>202.47</v>
      </c>
      <c r="I38" s="208">
        <f>'FY2020 Monthly Detail'!J106</f>
        <v>1007.64</v>
      </c>
      <c r="J38" s="208">
        <f>'FY2020 Monthly Detail'!K106</f>
        <v>1166.4100000000001</v>
      </c>
      <c r="K38" s="208">
        <f>'FY2020 Monthly Detail'!L106</f>
        <v>34373.479999999996</v>
      </c>
      <c r="L38" s="208">
        <f>'FY2020 Monthly Detail'!M106</f>
        <v>0</v>
      </c>
      <c r="M38" s="208">
        <f>'FY2020 Monthly Detail'!N106</f>
        <v>0</v>
      </c>
      <c r="N38" s="208">
        <f>'FY2020 Monthly Detail'!O106</f>
        <v>0</v>
      </c>
      <c r="O38" s="274"/>
      <c r="P38" s="209">
        <f>'FY2020 Monthly Detail'!P106</f>
        <v>37000</v>
      </c>
      <c r="Q38" s="208">
        <f>'FY2020 Monthly Detail'!Q106</f>
        <v>0</v>
      </c>
    </row>
    <row r="39" spans="1:17" x14ac:dyDescent="0.2">
      <c r="A39" s="218" t="str">
        <f>'FY2020 Monthly Detail'!A108</f>
        <v>(5.3) Discretionary Funds</v>
      </c>
      <c r="B39" s="208">
        <f>'FY2020 Monthly Detail'!C110</f>
        <v>2000</v>
      </c>
      <c r="C39" s="297">
        <f>'FY2020 Monthly Detail'!D110</f>
        <v>0</v>
      </c>
      <c r="D39" s="208">
        <f>'FY2020 Monthly Detail'!E110</f>
        <v>0</v>
      </c>
      <c r="E39" s="208">
        <f>'FY2020 Monthly Detail'!F110</f>
        <v>0</v>
      </c>
      <c r="F39" s="208">
        <f>'FY2020 Monthly Detail'!G110</f>
        <v>0</v>
      </c>
      <c r="G39" s="208">
        <f>'FY2020 Monthly Detail'!H110</f>
        <v>0</v>
      </c>
      <c r="H39" s="208">
        <f>'FY2020 Monthly Detail'!I110</f>
        <v>0</v>
      </c>
      <c r="I39" s="208">
        <f>'FY2020 Monthly Detail'!J110</f>
        <v>0</v>
      </c>
      <c r="J39" s="208">
        <f>'FY2020 Monthly Detail'!K110</f>
        <v>0</v>
      </c>
      <c r="K39" s="208">
        <f>'FY2020 Monthly Detail'!L110</f>
        <v>55465.729999999996</v>
      </c>
      <c r="L39" s="208">
        <f>'FY2020 Monthly Detail'!M110</f>
        <v>-65000</v>
      </c>
      <c r="M39" s="208">
        <f>'FY2020 Monthly Detail'!N110</f>
        <v>0</v>
      </c>
      <c r="N39" s="208">
        <f>'FY2020 Monthly Detail'!O110</f>
        <v>0</v>
      </c>
      <c r="O39" s="274"/>
      <c r="P39" s="209">
        <f>'FY2020 Monthly Detail'!P110</f>
        <v>-9534.2700000000041</v>
      </c>
      <c r="Q39" s="208">
        <f>'FY2020 Monthly Detail'!Q110</f>
        <v>11534.270000000004</v>
      </c>
    </row>
    <row r="40" spans="1:17" x14ac:dyDescent="0.2">
      <c r="A40" s="218" t="str">
        <f>'FY2020 Monthly Detail'!A112</f>
        <v>(5.4) Special Projects</v>
      </c>
      <c r="B40" s="208">
        <f>'FY2020 Monthly Detail'!C116</f>
        <v>12000</v>
      </c>
      <c r="C40" s="297">
        <f>'FY2020 Monthly Detail'!D116</f>
        <v>0</v>
      </c>
      <c r="D40" s="208">
        <f>'FY2020 Monthly Detail'!E116</f>
        <v>0</v>
      </c>
      <c r="E40" s="208">
        <f>'FY2020 Monthly Detail'!F116</f>
        <v>0</v>
      </c>
      <c r="F40" s="208">
        <f>'FY2020 Monthly Detail'!G116</f>
        <v>0</v>
      </c>
      <c r="G40" s="208">
        <f>'FY2020 Monthly Detail'!H116</f>
        <v>0</v>
      </c>
      <c r="H40" s="208">
        <f>'FY2020 Monthly Detail'!I116</f>
        <v>0</v>
      </c>
      <c r="I40" s="208">
        <f>'FY2020 Monthly Detail'!J116</f>
        <v>0</v>
      </c>
      <c r="J40" s="208">
        <f>'FY2020 Monthly Detail'!K116</f>
        <v>0</v>
      </c>
      <c r="K40" s="208">
        <f>'FY2020 Monthly Detail'!L116</f>
        <v>11295</v>
      </c>
      <c r="L40" s="208">
        <f>'FY2020 Monthly Detail'!M116</f>
        <v>705</v>
      </c>
      <c r="M40" s="208">
        <f>'FY2020 Monthly Detail'!N116</f>
        <v>0</v>
      </c>
      <c r="N40" s="208">
        <f>'FY2020 Monthly Detail'!O116</f>
        <v>0</v>
      </c>
      <c r="O40" s="274"/>
      <c r="P40" s="209">
        <f>'FY2020 Monthly Detail'!P116</f>
        <v>12000</v>
      </c>
      <c r="Q40" s="208">
        <f>'FY2020 Monthly Detail'!Q116</f>
        <v>0</v>
      </c>
    </row>
    <row r="41" spans="1:17" s="221" customFormat="1" x14ac:dyDescent="0.2">
      <c r="A41" s="143" t="s">
        <v>167</v>
      </c>
      <c r="B41" s="228">
        <f>'FY2020 Monthly Detail'!C118</f>
        <v>54250</v>
      </c>
      <c r="C41" s="310">
        <f>'FY2020 Monthly Detail'!D118</f>
        <v>0</v>
      </c>
      <c r="D41" s="228">
        <f>'FY2020 Monthly Detail'!E118</f>
        <v>0</v>
      </c>
      <c r="E41" s="228">
        <f>'FY2020 Monthly Detail'!F118</f>
        <v>0</v>
      </c>
      <c r="F41" s="228">
        <f>'FY2020 Monthly Detail'!G118</f>
        <v>0</v>
      </c>
      <c r="G41" s="228">
        <f>'FY2020 Monthly Detail'!H118</f>
        <v>250</v>
      </c>
      <c r="H41" s="228">
        <f>'FY2020 Monthly Detail'!I118</f>
        <v>202.47</v>
      </c>
      <c r="I41" s="228">
        <f>'FY2020 Monthly Detail'!J118</f>
        <v>1007.64</v>
      </c>
      <c r="J41" s="228">
        <f>'FY2020 Monthly Detail'!K118</f>
        <v>1991.41</v>
      </c>
      <c r="K41" s="228">
        <f>'FY2020 Monthly Detail'!L118</f>
        <v>103559.20999999999</v>
      </c>
      <c r="L41" s="228">
        <f>'FY2020 Monthly Detail'!M118</f>
        <v>-64295</v>
      </c>
      <c r="M41" s="228">
        <f>'FY2020 Monthly Detail'!N118</f>
        <v>0</v>
      </c>
      <c r="N41" s="228">
        <f>'FY2020 Monthly Detail'!O118</f>
        <v>0</v>
      </c>
      <c r="O41" s="285"/>
      <c r="P41" s="121">
        <f>'FY2020 Monthly Detail'!P118</f>
        <v>42715.729999999996</v>
      </c>
      <c r="Q41" s="228">
        <f>'FY2020 Monthly Detail'!Q118</f>
        <v>11534.270000000004</v>
      </c>
    </row>
    <row r="42" spans="1:17" x14ac:dyDescent="0.2">
      <c r="A42" s="3"/>
      <c r="B42" s="114"/>
      <c r="C42" s="299"/>
      <c r="O42" s="272"/>
      <c r="P42" s="174"/>
    </row>
    <row r="43" spans="1:17" x14ac:dyDescent="0.2">
      <c r="A43" s="144" t="s">
        <v>131</v>
      </c>
      <c r="B43" s="163"/>
      <c r="C43" s="311"/>
      <c r="D43" s="122"/>
      <c r="E43" s="122"/>
      <c r="F43" s="122"/>
      <c r="G43" s="122"/>
      <c r="H43" s="122"/>
      <c r="I43" s="122"/>
      <c r="J43" s="122"/>
      <c r="K43" s="122"/>
      <c r="L43" s="122"/>
      <c r="M43" s="122"/>
      <c r="N43" s="122"/>
      <c r="O43" s="286"/>
      <c r="P43" s="183"/>
      <c r="Q43" s="163"/>
    </row>
    <row r="44" spans="1:17" x14ac:dyDescent="0.2">
      <c r="A44" s="218" t="str">
        <f>'FY2020 Monthly Detail'!A122</f>
        <v>(6.1) Required Administrative</v>
      </c>
      <c r="B44" s="208">
        <f>'FY2020 Monthly Detail'!C124</f>
        <v>26070</v>
      </c>
      <c r="C44" s="297">
        <f>'FY2020 Monthly Detail'!D124</f>
        <v>0</v>
      </c>
      <c r="D44" s="208">
        <f>'FY2020 Monthly Detail'!E124</f>
        <v>0</v>
      </c>
      <c r="E44" s="208">
        <f>'FY2020 Monthly Detail'!F124</f>
        <v>7391.17</v>
      </c>
      <c r="F44" s="208">
        <f>'FY2020 Monthly Detail'!G124</f>
        <v>0</v>
      </c>
      <c r="G44" s="208">
        <f>'FY2020 Monthly Detail'!H124</f>
        <v>0</v>
      </c>
      <c r="H44" s="208">
        <f>'FY2020 Monthly Detail'!I124</f>
        <v>0</v>
      </c>
      <c r="I44" s="208">
        <f>'FY2020 Monthly Detail'!J124</f>
        <v>0</v>
      </c>
      <c r="J44" s="208">
        <f>'FY2020 Monthly Detail'!K124</f>
        <v>0</v>
      </c>
      <c r="K44" s="208">
        <f>'FY2020 Monthly Detail'!L124</f>
        <v>9477.73</v>
      </c>
      <c r="L44" s="208">
        <f>'FY2020 Monthly Detail'!M124</f>
        <v>0</v>
      </c>
      <c r="M44" s="208">
        <f>'FY2020 Monthly Detail'!N124</f>
        <v>0</v>
      </c>
      <c r="N44" s="208">
        <f>'FY2020 Monthly Detail'!O124</f>
        <v>0</v>
      </c>
      <c r="O44" s="274"/>
      <c r="P44" s="209">
        <f>'FY2020 Monthly Detail'!P124</f>
        <v>16868.900000000001</v>
      </c>
      <c r="Q44" s="208">
        <f>'FY2020 Monthly Detail'!Q124</f>
        <v>9201.0999999999985</v>
      </c>
    </row>
    <row r="45" spans="1:17" s="221" customFormat="1" x14ac:dyDescent="0.2">
      <c r="A45" s="146" t="s">
        <v>125</v>
      </c>
      <c r="B45" s="229">
        <f>'FY2020 Monthly Detail'!C126</f>
        <v>26070</v>
      </c>
      <c r="C45" s="312">
        <f>'FY2020 Monthly Detail'!D126</f>
        <v>0</v>
      </c>
      <c r="D45" s="229">
        <f>'FY2020 Monthly Detail'!E126</f>
        <v>0</v>
      </c>
      <c r="E45" s="229">
        <f>'FY2020 Monthly Detail'!F126</f>
        <v>7391.17</v>
      </c>
      <c r="F45" s="229">
        <f>'FY2020 Monthly Detail'!G126</f>
        <v>0</v>
      </c>
      <c r="G45" s="229">
        <f>'FY2020 Monthly Detail'!H126</f>
        <v>0</v>
      </c>
      <c r="H45" s="229">
        <f>'FY2020 Monthly Detail'!I126</f>
        <v>0</v>
      </c>
      <c r="I45" s="229">
        <f>'FY2020 Monthly Detail'!J126</f>
        <v>0</v>
      </c>
      <c r="J45" s="229">
        <f>'FY2020 Monthly Detail'!K126</f>
        <v>0</v>
      </c>
      <c r="K45" s="229">
        <f>'FY2020 Monthly Detail'!L126</f>
        <v>9477.73</v>
      </c>
      <c r="L45" s="229">
        <f>'FY2020 Monthly Detail'!M126</f>
        <v>0</v>
      </c>
      <c r="M45" s="229">
        <f>'FY2020 Monthly Detail'!N126</f>
        <v>0</v>
      </c>
      <c r="N45" s="229">
        <f>'FY2020 Monthly Detail'!O126</f>
        <v>0</v>
      </c>
      <c r="O45" s="287"/>
      <c r="P45" s="123">
        <f>'FY2020 Monthly Detail'!P126</f>
        <v>16868.900000000001</v>
      </c>
      <c r="Q45" s="229">
        <f>'FY2020 Monthly Detail'!Q126</f>
        <v>9201.0999999999985</v>
      </c>
    </row>
    <row r="46" spans="1:17" x14ac:dyDescent="0.2">
      <c r="C46" s="295"/>
      <c r="O46" s="272"/>
      <c r="P46" s="174"/>
    </row>
    <row r="47" spans="1:17" x14ac:dyDescent="0.2">
      <c r="A47" s="210" t="s">
        <v>2116</v>
      </c>
      <c r="B47" s="210"/>
      <c r="C47" s="217">
        <f>'FY2020 Monthly Detail'!D128</f>
        <v>1077.0700000000002</v>
      </c>
      <c r="D47" s="213">
        <f>'FY2020 Monthly Detail'!E128</f>
        <v>20633.560000000001</v>
      </c>
      <c r="E47" s="213">
        <f>'FY2020 Monthly Detail'!F128</f>
        <v>46317.75</v>
      </c>
      <c r="F47" s="213">
        <f>'FY2020 Monthly Detail'!G128</f>
        <v>48127.839999999997</v>
      </c>
      <c r="G47" s="213">
        <f>'FY2020 Monthly Detail'!H128</f>
        <v>407.76</v>
      </c>
      <c r="H47" s="213">
        <f>'FY2020 Monthly Detail'!I128</f>
        <v>10888.55</v>
      </c>
      <c r="I47" s="213">
        <f>'FY2020 Monthly Detail'!J128</f>
        <v>390.65</v>
      </c>
      <c r="J47" s="213">
        <f>'FY2020 Monthly Detail'!K128</f>
        <v>80362.510000000009</v>
      </c>
      <c r="K47" s="213">
        <f>'FY2020 Monthly Detail'!L128</f>
        <v>5629.68</v>
      </c>
      <c r="L47" s="213">
        <f>'FY2020 Monthly Detail'!M128</f>
        <v>0</v>
      </c>
      <c r="M47" s="213">
        <f>'FY2020 Monthly Detail'!N128</f>
        <v>0</v>
      </c>
      <c r="N47" s="213">
        <f>'FY2020 Monthly Detail'!O128</f>
        <v>0</v>
      </c>
      <c r="O47" s="288"/>
      <c r="P47" s="217">
        <f>'FY2020 Monthly Detail'!P128</f>
        <v>213835.37</v>
      </c>
      <c r="Q47" s="213"/>
    </row>
    <row r="48" spans="1:17" x14ac:dyDescent="0.2">
      <c r="A48" s="289" t="s">
        <v>2129</v>
      </c>
      <c r="B48" s="210"/>
      <c r="C48" s="217">
        <f>'FY2020 Monthly Detail'!D129</f>
        <v>1077.0700000000002</v>
      </c>
      <c r="D48" s="213">
        <f>'FY2020 Monthly Detail'!E129</f>
        <v>21710.63</v>
      </c>
      <c r="E48" s="213">
        <f>'FY2020 Monthly Detail'!F129</f>
        <v>68028.38</v>
      </c>
      <c r="F48" s="213">
        <f>'FY2020 Monthly Detail'!G129</f>
        <v>116156.22</v>
      </c>
      <c r="G48" s="213">
        <f>'FY2020 Monthly Detail'!H129</f>
        <v>116563.98</v>
      </c>
      <c r="H48" s="213">
        <f>'FY2020 Monthly Detail'!I129</f>
        <v>127452.53</v>
      </c>
      <c r="I48" s="213">
        <f>'FY2020 Monthly Detail'!J129</f>
        <v>127843.18</v>
      </c>
      <c r="J48" s="213">
        <f>'FY2020 Monthly Detail'!K129</f>
        <v>208205.69</v>
      </c>
      <c r="K48" s="213">
        <f>'FY2020 Monthly Detail'!L129</f>
        <v>213835.37</v>
      </c>
      <c r="L48" s="213">
        <f>'FY2020 Monthly Detail'!M129</f>
        <v>213835.37</v>
      </c>
      <c r="M48" s="213">
        <f>'FY2020 Monthly Detail'!N129</f>
        <v>213835.37</v>
      </c>
      <c r="N48" s="213">
        <f>'FY2020 Monthly Detail'!O129</f>
        <v>213835.37</v>
      </c>
      <c r="O48" s="288"/>
      <c r="P48" s="217"/>
      <c r="Q48" s="213"/>
    </row>
    <row r="49" spans="1:17" x14ac:dyDescent="0.2">
      <c r="A49" s="210" t="s">
        <v>2117</v>
      </c>
      <c r="B49" s="210"/>
      <c r="C49" s="217">
        <f>'FY2020 Monthly Detail'!D130</f>
        <v>6491.6600000000017</v>
      </c>
      <c r="D49" s="213">
        <f>'FY2020 Monthly Detail'!E130</f>
        <v>8194.0500000000011</v>
      </c>
      <c r="E49" s="213">
        <f>'FY2020 Monthly Detail'!F130</f>
        <v>19606.230000000003</v>
      </c>
      <c r="F49" s="213">
        <f>'FY2020 Monthly Detail'!G130</f>
        <v>17055.080000000002</v>
      </c>
      <c r="G49" s="213">
        <f>'FY2020 Monthly Detail'!H130</f>
        <v>21291.82</v>
      </c>
      <c r="H49" s="213">
        <f>'FY2020 Monthly Detail'!I130</f>
        <v>12173.99</v>
      </c>
      <c r="I49" s="213">
        <f>'FY2020 Monthly Detail'!J130</f>
        <v>13086.32</v>
      </c>
      <c r="J49" s="213">
        <f>'FY2020 Monthly Detail'!K130</f>
        <v>18378.7</v>
      </c>
      <c r="K49" s="213">
        <f>'FY2020 Monthly Detail'!L130</f>
        <v>159748.78</v>
      </c>
      <c r="L49" s="213">
        <f>'FY2020 Monthly Detail'!M130</f>
        <v>-64163</v>
      </c>
      <c r="M49" s="213">
        <f>'FY2020 Monthly Detail'!N130</f>
        <v>0</v>
      </c>
      <c r="N49" s="213">
        <f>'FY2020 Monthly Detail'!O130</f>
        <v>0</v>
      </c>
      <c r="O49" s="288"/>
      <c r="P49" s="217">
        <f>'FY2020 Monthly Detail'!P130</f>
        <v>211863.63</v>
      </c>
      <c r="Q49" s="213"/>
    </row>
    <row r="50" spans="1:17" x14ac:dyDescent="0.2">
      <c r="A50" s="289" t="s">
        <v>2130</v>
      </c>
      <c r="B50" s="210"/>
      <c r="C50" s="217">
        <f>'FY2020 Monthly Detail'!D131</f>
        <v>6491.6600000000017</v>
      </c>
      <c r="D50" s="213">
        <f>'FY2020 Monthly Detail'!E131</f>
        <v>14685.710000000003</v>
      </c>
      <c r="E50" s="213">
        <f>'FY2020 Monthly Detail'!F131</f>
        <v>34291.94</v>
      </c>
      <c r="F50" s="213">
        <f>'FY2020 Monthly Detail'!G131</f>
        <v>51347.020000000004</v>
      </c>
      <c r="G50" s="213">
        <f>'FY2020 Monthly Detail'!H131</f>
        <v>72638.84</v>
      </c>
      <c r="H50" s="213">
        <f>'FY2020 Monthly Detail'!I131</f>
        <v>84812.83</v>
      </c>
      <c r="I50" s="213">
        <f>'FY2020 Monthly Detail'!J131</f>
        <v>97899.15</v>
      </c>
      <c r="J50" s="213">
        <f>'FY2020 Monthly Detail'!K131</f>
        <v>116277.84999999999</v>
      </c>
      <c r="K50" s="213">
        <f>'FY2020 Monthly Detail'!L131</f>
        <v>276026.63</v>
      </c>
      <c r="L50" s="213">
        <f>'FY2020 Monthly Detail'!M131</f>
        <v>211863.63</v>
      </c>
      <c r="M50" s="213">
        <f>'FY2020 Monthly Detail'!N131</f>
        <v>211863.63</v>
      </c>
      <c r="N50" s="213">
        <f>'FY2020 Monthly Detail'!O131</f>
        <v>211863.63</v>
      </c>
      <c r="O50" s="288"/>
      <c r="P50" s="217"/>
      <c r="Q50" s="213"/>
    </row>
    <row r="51" spans="1:17" x14ac:dyDescent="0.2">
      <c r="A51" s="210" t="s">
        <v>2132</v>
      </c>
      <c r="B51" s="210"/>
      <c r="C51" s="217">
        <f>'FY2020 Monthly Detail'!D132</f>
        <v>-5414.590000000002</v>
      </c>
      <c r="D51" s="213">
        <f>'FY2020 Monthly Detail'!E132</f>
        <v>12439.51</v>
      </c>
      <c r="E51" s="213">
        <f>'FY2020 Monthly Detail'!F132</f>
        <v>26711.519999999997</v>
      </c>
      <c r="F51" s="213">
        <f>'FY2020 Monthly Detail'!G132</f>
        <v>31072.759999999995</v>
      </c>
      <c r="G51" s="213">
        <f>'FY2020 Monthly Detail'!H132</f>
        <v>-20884.060000000001</v>
      </c>
      <c r="H51" s="213">
        <f>'FY2020 Monthly Detail'!I132</f>
        <v>-1285.4400000000005</v>
      </c>
      <c r="I51" s="213">
        <f>'FY2020 Monthly Detail'!J132</f>
        <v>-12695.67</v>
      </c>
      <c r="J51" s="213">
        <f>'FY2020 Monthly Detail'!K132</f>
        <v>61983.810000000012</v>
      </c>
      <c r="K51" s="213">
        <f>'FY2020 Monthly Detail'!L132</f>
        <v>-154119.1</v>
      </c>
      <c r="L51" s="213">
        <f>'FY2020 Monthly Detail'!M132</f>
        <v>64163</v>
      </c>
      <c r="M51" s="213">
        <f>'FY2020 Monthly Detail'!N132</f>
        <v>0</v>
      </c>
      <c r="N51" s="213">
        <f>'FY2020 Monthly Detail'!O132</f>
        <v>0</v>
      </c>
      <c r="O51" s="288"/>
      <c r="P51" s="217">
        <f>'FY2020 Monthly Detail'!P132</f>
        <v>1971.7399999999907</v>
      </c>
      <c r="Q51" s="213"/>
    </row>
    <row r="52" spans="1:17" x14ac:dyDescent="0.2">
      <c r="A52" s="289" t="s">
        <v>2133</v>
      </c>
      <c r="B52" s="210"/>
      <c r="C52" s="217">
        <f>'FY2020 Monthly Detail'!D133</f>
        <v>-5414.590000000002</v>
      </c>
      <c r="D52" s="213">
        <f>'FY2020 Monthly Detail'!E133</f>
        <v>7024.9199999999983</v>
      </c>
      <c r="E52" s="213">
        <f>'FY2020 Monthly Detail'!F133</f>
        <v>33736.439999999995</v>
      </c>
      <c r="F52" s="213">
        <f>'FY2020 Monthly Detail'!G133</f>
        <v>64809.19999999999</v>
      </c>
      <c r="G52" s="213">
        <f>'FY2020 Monthly Detail'!H133</f>
        <v>43925.139999999985</v>
      </c>
      <c r="H52" s="213">
        <f>'FY2020 Monthly Detail'!I133</f>
        <v>42639.699999999983</v>
      </c>
      <c r="I52" s="213">
        <f>'FY2020 Monthly Detail'!J133</f>
        <v>29944.029999999984</v>
      </c>
      <c r="J52" s="213">
        <f>'FY2020 Monthly Detail'!K133</f>
        <v>91927.84</v>
      </c>
      <c r="K52" s="213">
        <f>'FY2020 Monthly Detail'!L133</f>
        <v>-62191.260000000009</v>
      </c>
      <c r="L52" s="213">
        <f>'FY2020 Monthly Detail'!M133</f>
        <v>1971.7399999999907</v>
      </c>
      <c r="M52" s="213">
        <f>'FY2020 Monthly Detail'!N133</f>
        <v>1971.7399999999907</v>
      </c>
      <c r="N52" s="213">
        <f>'FY2020 Monthly Detail'!O133</f>
        <v>1971.7399999999907</v>
      </c>
      <c r="O52" s="217"/>
      <c r="P52" s="217"/>
      <c r="Q52" s="213"/>
    </row>
    <row r="53" spans="1:17" x14ac:dyDescent="0.2">
      <c r="A53" s="289" t="s">
        <v>2131</v>
      </c>
      <c r="B53" s="210"/>
      <c r="C53" s="217">
        <f>'FY2020 Monthly Detail'!D134</f>
        <v>204210.71</v>
      </c>
      <c r="D53" s="213">
        <f>'FY2020 Monthly Detail'!E134</f>
        <v>216650.21999999997</v>
      </c>
      <c r="E53" s="213">
        <f>'FY2020 Monthly Detail'!F134</f>
        <v>243361.74</v>
      </c>
      <c r="F53" s="213">
        <f>'FY2020 Monthly Detail'!G134</f>
        <v>274434.5</v>
      </c>
      <c r="G53" s="213">
        <f>'FY2020 Monthly Detail'!H134</f>
        <v>254002.45999999996</v>
      </c>
      <c r="H53" s="213">
        <f>'FY2020 Monthly Detail'!I134</f>
        <v>252717.01999999996</v>
      </c>
      <c r="I53" s="213">
        <f>'FY2020 Monthly Detail'!J134</f>
        <v>240021.34999999998</v>
      </c>
      <c r="J53" s="213">
        <f>'FY2020 Monthly Detail'!K134</f>
        <v>302005.15999999997</v>
      </c>
      <c r="K53" s="213">
        <f>'FY2020 Monthly Detail'!L134</f>
        <v>147886.06</v>
      </c>
      <c r="L53" s="213">
        <f>'FY2020 Monthly Detail'!M134</f>
        <v>212049.06</v>
      </c>
      <c r="M53" s="213">
        <f>'FY2020 Monthly Detail'!N134</f>
        <v>212049.06</v>
      </c>
      <c r="N53" s="213">
        <f>'FY2020 Monthly Detail'!O134</f>
        <v>212049.06</v>
      </c>
      <c r="O53" s="217"/>
      <c r="P53" s="217"/>
      <c r="Q53" s="213"/>
    </row>
  </sheetData>
  <mergeCells count="1">
    <mergeCell ref="A2:Q3"/>
  </mergeCells>
  <pageMargins left="0.7" right="0.7" top="0.75" bottom="0.75" header="0.3" footer="0.3"/>
  <extLst>
    <ext xmlns:x14="http://schemas.microsoft.com/office/spreadsheetml/2009/9/main" uri="{05C60535-1F16-4fd2-B633-F4F36F0B64E0}">
      <x14:sparklineGroups xmlns:xm="http://schemas.microsoft.com/office/excel/2006/main">
        <x14:sparklineGroup lineWeight="1" displayEmptyCellsAs="gap" xr2:uid="{76F4990E-9F5E-4531-82FD-79104CF41DC3}">
          <x14:colorSeries theme="0"/>
          <x14:colorNegative rgb="FFD00000"/>
          <x14:colorAxis rgb="FF000000"/>
          <x14:colorMarkers rgb="FFD00000"/>
          <x14:colorFirst rgb="FFD00000"/>
          <x14:colorLast rgb="FFD00000"/>
          <x14:colorHigh rgb="FFD00000"/>
          <x14:colorLow rgb="FFD00000"/>
          <x14:sparklines>
            <x14:sparkline>
              <xm:f>'FY2020 Monthly Overview'!C51:N51</xm:f>
              <xm:sqref>O51</xm:sqref>
            </x14:sparkline>
            <x14:sparkline>
              <xm:f>'FY2020 Monthly Overview'!C52:N52</xm:f>
              <xm:sqref>O52</xm:sqref>
            </x14:sparkline>
            <x14:sparkline>
              <xm:f>'FY2020 Monthly Overview'!C53:N53</xm:f>
              <xm:sqref>O53</xm:sqref>
            </x14:sparkline>
          </x14:sparklines>
        </x14:sparklineGroup>
        <x14:sparklineGroup lineWeight="1" displayEmptyCellsAs="gap" xr2:uid="{71F60365-650C-4934-8AC5-DBBC17442C17}">
          <x14:colorSeries theme="0"/>
          <x14:colorNegative rgb="FFD00000"/>
          <x14:colorAxis rgb="FF000000"/>
          <x14:colorMarkers rgb="FFD00000"/>
          <x14:colorFirst rgb="FFD00000"/>
          <x14:colorLast rgb="FFD00000"/>
          <x14:colorHigh rgb="FFD00000"/>
          <x14:colorLow rgb="FFD00000"/>
          <x14:sparklines>
            <x14:sparkline>
              <xm:f>'FY2020 Monthly Overview'!C49:N49</xm:f>
              <xm:sqref>O49</xm:sqref>
            </x14:sparkline>
            <x14:sparkline>
              <xm:f>'FY2020 Monthly Overview'!C50:N50</xm:f>
              <xm:sqref>O50</xm:sqref>
            </x14:sparkline>
          </x14:sparklines>
        </x14:sparklineGroup>
        <x14:sparklineGroup lineWeight="1" displayEmptyCellsAs="gap" xr2:uid="{7511341E-C3D0-4354-9396-2E26AA88242A}">
          <x14:colorSeries theme="0"/>
          <x14:colorNegative rgb="FFD00000"/>
          <x14:colorAxis rgb="FF000000"/>
          <x14:colorMarkers rgb="FFD00000"/>
          <x14:colorFirst rgb="FFD00000"/>
          <x14:colorLast rgb="FFD00000"/>
          <x14:colorHigh rgb="FFD00000"/>
          <x14:colorLow rgb="FFD00000"/>
          <x14:sparklines>
            <x14:sparkline>
              <xm:f>'FY2020 Monthly Overview'!C47:N47</xm:f>
              <xm:sqref>O47</xm:sqref>
            </x14:sparkline>
            <x14:sparkline>
              <xm:f>'FY2020 Monthly Overview'!C48:N48</xm:f>
              <xm:sqref>O48</xm:sqref>
            </x14:sparkline>
          </x14:sparklines>
        </x14:sparklineGroup>
        <x14:sparklineGroup displayEmptyCellsAs="gap" xr2:uid="{10FCDC9C-9B61-4817-8355-2C686558D3CE}">
          <x14:colorSeries theme="1"/>
          <x14:colorNegative rgb="FFD00000"/>
          <x14:colorAxis rgb="FF000000"/>
          <x14:colorMarkers rgb="FFD00000"/>
          <x14:colorFirst rgb="FFD00000"/>
          <x14:colorLast rgb="FFD00000"/>
          <x14:colorHigh rgb="FFD00000"/>
          <x14:colorLow rgb="FFD00000"/>
          <x14:sparklines>
            <x14:sparkline>
              <xm:f>'FY2020 Monthly Overview'!C45:N45</xm:f>
              <xm:sqref>O45</xm:sqref>
            </x14:sparkline>
          </x14:sparklines>
        </x14:sparklineGroup>
        <x14:sparklineGroup displayEmptyCellsAs="gap" xr2:uid="{682F7157-E1A1-4A7E-A14F-03B81D24FCD4}">
          <x14:colorSeries theme="1"/>
          <x14:colorNegative rgb="FFD00000"/>
          <x14:colorAxis rgb="FF000000"/>
          <x14:colorMarkers rgb="FFD00000"/>
          <x14:colorFirst rgb="FFD00000"/>
          <x14:colorLast rgb="FFD00000"/>
          <x14:colorHigh rgb="FFD00000"/>
          <x14:colorLow rgb="FFD00000"/>
          <x14:sparklines>
            <x14:sparkline>
              <xm:f>'FY2020 Monthly Overview'!C41:N41</xm:f>
              <xm:sqref>O41</xm:sqref>
            </x14:sparkline>
          </x14:sparklines>
        </x14:sparklineGroup>
        <x14:sparklineGroup displayEmptyCellsAs="gap" xr2:uid="{F8ABE4D1-FD7F-4E5D-8421-51334DC7E121}">
          <x14:colorSeries theme="1"/>
          <x14:colorNegative rgb="FFD00000"/>
          <x14:colorAxis rgb="FF000000"/>
          <x14:colorMarkers rgb="FFD00000"/>
          <x14:colorFirst rgb="FFD00000"/>
          <x14:colorLast rgb="FFD00000"/>
          <x14:colorHigh rgb="FFD00000"/>
          <x14:colorLow rgb="FFD00000"/>
          <x14:sparklines>
            <x14:sparkline>
              <xm:f>'FY2020 Monthly Overview'!C34:N34</xm:f>
              <xm:sqref>O34</xm:sqref>
            </x14:sparkline>
          </x14:sparklines>
        </x14:sparklineGroup>
        <x14:sparklineGroup displayEmptyCellsAs="gap" xr2:uid="{886AAE2F-09EF-4D23-8E37-2D6F8228F391}">
          <x14:colorSeries theme="1"/>
          <x14:colorNegative rgb="FFD00000"/>
          <x14:colorAxis rgb="FF000000"/>
          <x14:colorMarkers rgb="FFD00000"/>
          <x14:colorFirst rgb="FFD00000"/>
          <x14:colorLast rgb="FFD00000"/>
          <x14:colorHigh rgb="FFD00000"/>
          <x14:colorLow rgb="FFD00000"/>
          <x14:sparklines>
            <x14:sparkline>
              <xm:f>'FY2020 Monthly Overview'!C29:N29</xm:f>
              <xm:sqref>O29</xm:sqref>
            </x14:sparkline>
          </x14:sparklines>
        </x14:sparklineGroup>
        <x14:sparklineGroup displayEmptyCellsAs="gap" xr2:uid="{0B69F064-2675-4ED4-9CA6-4F094A5D67DF}">
          <x14:colorSeries theme="1"/>
          <x14:colorNegative rgb="FFD00000"/>
          <x14:colorAxis rgb="FF000000"/>
          <x14:colorMarkers rgb="FFD00000"/>
          <x14:colorFirst rgb="FFD00000"/>
          <x14:colorLast rgb="FFD00000"/>
          <x14:colorHigh rgb="FFD00000"/>
          <x14:colorLow rgb="FFD00000"/>
          <x14:sparklines>
            <x14:sparkline>
              <xm:f>'FY2020 Monthly Overview'!C44:N44</xm:f>
              <xm:sqref>O44</xm:sqref>
            </x14:sparkline>
          </x14:sparklines>
        </x14:sparklineGroup>
        <x14:sparklineGroup displayEmptyCellsAs="gap" xr2:uid="{49F53B6C-6EA3-45B5-A08B-55045313C6FE}">
          <x14:colorSeries theme="1"/>
          <x14:colorNegative rgb="FFD00000"/>
          <x14:colorAxis rgb="FF000000"/>
          <x14:colorMarkers rgb="FFD00000"/>
          <x14:colorFirst rgb="FFD00000"/>
          <x14:colorLast rgb="FFD00000"/>
          <x14:colorHigh rgb="FFD00000"/>
          <x14:colorLow rgb="FFD00000"/>
          <x14:sparklines>
            <x14:sparkline>
              <xm:f>'FY2020 Monthly Overview'!C40:N40</xm:f>
              <xm:sqref>O40</xm:sqref>
            </x14:sparkline>
          </x14:sparklines>
        </x14:sparklineGroup>
        <x14:sparklineGroup displayEmptyCellsAs="gap" xr2:uid="{018B7A99-438C-4940-BB38-76BF44BD8D7E}">
          <x14:colorSeries theme="1"/>
          <x14:colorNegative rgb="FFD00000"/>
          <x14:colorAxis rgb="FF000000"/>
          <x14:colorMarkers rgb="FFD00000"/>
          <x14:colorFirst rgb="FFD00000"/>
          <x14:colorLast rgb="FFD00000"/>
          <x14:colorHigh rgb="FFD00000"/>
          <x14:colorLow rgb="FFD00000"/>
          <x14:sparklines>
            <x14:sparkline>
              <xm:f>'FY2020 Monthly Overview'!C39:N39</xm:f>
              <xm:sqref>O39</xm:sqref>
            </x14:sparkline>
          </x14:sparklines>
        </x14:sparklineGroup>
        <x14:sparklineGroup displayEmptyCellsAs="gap" xr2:uid="{152F8767-8DDC-457D-80D2-C257A3E1A10A}">
          <x14:colorSeries theme="1"/>
          <x14:colorNegative rgb="FFD00000"/>
          <x14:colorAxis rgb="FF000000"/>
          <x14:colorMarkers rgb="FFD00000"/>
          <x14:colorFirst rgb="FFD00000"/>
          <x14:colorLast rgb="FFD00000"/>
          <x14:colorHigh rgb="FFD00000"/>
          <x14:colorLow rgb="FFD00000"/>
          <x14:sparklines>
            <x14:sparkline>
              <xm:f>'FY2020 Monthly Overview'!C38:N38</xm:f>
              <xm:sqref>O38</xm:sqref>
            </x14:sparkline>
          </x14:sparklines>
        </x14:sparklineGroup>
        <x14:sparklineGroup displayEmptyCellsAs="gap" xr2:uid="{B71F6570-CEA9-40B0-AA69-6624AFD30ABA}">
          <x14:colorSeries theme="1"/>
          <x14:colorNegative rgb="FFD00000"/>
          <x14:colorAxis rgb="FF000000"/>
          <x14:colorMarkers rgb="FFD00000"/>
          <x14:colorFirst rgb="FFD00000"/>
          <x14:colorLast rgb="FFD00000"/>
          <x14:colorHigh rgb="FFD00000"/>
          <x14:colorLow rgb="FFD00000"/>
          <x14:sparklines>
            <x14:sparkline>
              <xm:f>'FY2020 Monthly Overview'!C37:N37</xm:f>
              <xm:sqref>O37</xm:sqref>
            </x14:sparkline>
          </x14:sparklines>
        </x14:sparklineGroup>
        <x14:sparklineGroup displayEmptyCellsAs="gap" xr2:uid="{2E44EC5B-BB42-4168-8470-A88630411F0C}">
          <x14:colorSeries theme="1"/>
          <x14:colorNegative rgb="FFD00000"/>
          <x14:colorAxis rgb="FF000000"/>
          <x14:colorMarkers rgb="FFD00000"/>
          <x14:colorFirst rgb="FFD00000"/>
          <x14:colorLast rgb="FFD00000"/>
          <x14:colorHigh rgb="FFD00000"/>
          <x14:colorLow rgb="FFD00000"/>
          <x14:sparklines>
            <x14:sparkline>
              <xm:f>'FY2020 Monthly Overview'!C33:N33</xm:f>
              <xm:sqref>O33</xm:sqref>
            </x14:sparkline>
          </x14:sparklines>
        </x14:sparklineGroup>
        <x14:sparklineGroup displayEmptyCellsAs="gap" xr2:uid="{3F262421-A26E-49AC-AFB0-E6FD0E464C99}">
          <x14:colorSeries theme="1"/>
          <x14:colorNegative rgb="FFD00000"/>
          <x14:colorAxis rgb="FF000000"/>
          <x14:colorMarkers rgb="FFD00000"/>
          <x14:colorFirst rgb="FFD00000"/>
          <x14:colorLast rgb="FFD00000"/>
          <x14:colorHigh rgb="FFD00000"/>
          <x14:colorLow rgb="FFD00000"/>
          <x14:sparklines>
            <x14:sparkline>
              <xm:f>'FY2020 Monthly Overview'!C32:N32</xm:f>
              <xm:sqref>O32</xm:sqref>
            </x14:sparkline>
          </x14:sparklines>
        </x14:sparklineGroup>
        <x14:sparklineGroup displayEmptyCellsAs="gap" xr2:uid="{7FEC7DBA-73A9-4060-BABC-AB0ED27235AC}">
          <x14:colorSeries theme="1"/>
          <x14:colorNegative rgb="FFD00000"/>
          <x14:colorAxis rgb="FF000000"/>
          <x14:colorMarkers rgb="FFD00000"/>
          <x14:colorFirst rgb="FFD00000"/>
          <x14:colorLast rgb="FFD00000"/>
          <x14:colorHigh rgb="FFD00000"/>
          <x14:colorLow rgb="FFD00000"/>
          <x14:sparklines>
            <x14:sparkline>
              <xm:f>'FY2020 Monthly Overview'!C28:N28</xm:f>
              <xm:sqref>O28</xm:sqref>
            </x14:sparkline>
          </x14:sparklines>
        </x14:sparklineGroup>
        <x14:sparklineGroup displayEmptyCellsAs="gap" xr2:uid="{71CA5D11-16EE-480D-BB81-3386B94855F9}">
          <x14:colorSeries theme="1"/>
          <x14:colorNegative rgb="FFD00000"/>
          <x14:colorAxis rgb="FF000000"/>
          <x14:colorMarkers rgb="FFD00000"/>
          <x14:colorFirst rgb="FFD00000"/>
          <x14:colorLast rgb="FFD00000"/>
          <x14:colorHigh rgb="FFD00000"/>
          <x14:colorLow rgb="FFD00000"/>
          <x14:sparklines>
            <x14:sparkline>
              <xm:f>'FY2020 Monthly Overview'!C27:N27</xm:f>
              <xm:sqref>O27</xm:sqref>
            </x14:sparkline>
          </x14:sparklines>
        </x14:sparklineGroup>
        <x14:sparklineGroup displayEmptyCellsAs="gap" xr2:uid="{AAF34FA7-AD78-44A4-AC5A-A026F0F731DB}">
          <x14:colorSeries theme="1"/>
          <x14:colorNegative rgb="FFD00000"/>
          <x14:colorAxis rgb="FF000000"/>
          <x14:colorMarkers rgb="FFD00000"/>
          <x14:colorFirst rgb="FFD00000"/>
          <x14:colorLast rgb="FFD00000"/>
          <x14:colorHigh rgb="FFD00000"/>
          <x14:colorLow rgb="FFD00000"/>
          <x14:sparklines>
            <x14:sparkline>
              <xm:f>'FY2020 Monthly Overview'!C24:N24</xm:f>
              <xm:sqref>O24</xm:sqref>
            </x14:sparkline>
          </x14:sparklines>
        </x14:sparklineGroup>
        <x14:sparklineGroup displayEmptyCellsAs="gap" xr2:uid="{4888EC1E-632D-4F7D-847F-1E0745D06A3C}">
          <x14:colorSeries theme="1"/>
          <x14:colorNegative rgb="FFD00000"/>
          <x14:colorAxis rgb="FF000000"/>
          <x14:colorMarkers rgb="FFD00000"/>
          <x14:colorFirst rgb="FFD00000"/>
          <x14:colorLast rgb="FFD00000"/>
          <x14:colorHigh rgb="FFD00000"/>
          <x14:colorLow rgb="FFD00000"/>
          <x14:sparklines>
            <x14:sparkline>
              <xm:f>'FY2020 Monthly Overview'!C23:N23</xm:f>
              <xm:sqref>O23</xm:sqref>
            </x14:sparkline>
          </x14:sparklines>
        </x14:sparklineGroup>
        <x14:sparklineGroup displayEmptyCellsAs="gap" xr2:uid="{7A7CACAC-2F8E-47D2-A7A9-4C4EF9DCCA2B}">
          <x14:colorSeries theme="1"/>
          <x14:colorNegative rgb="FFD00000"/>
          <x14:colorAxis rgb="FF000000"/>
          <x14:colorMarkers rgb="FFD00000"/>
          <x14:colorFirst rgb="FFD00000"/>
          <x14:colorLast rgb="FFD00000"/>
          <x14:colorHigh rgb="FFD00000"/>
          <x14:colorLow rgb="FFD00000"/>
          <x14:sparklines>
            <x14:sparkline>
              <xm:f>'FY2020 Monthly Overview'!C22:N22</xm:f>
              <xm:sqref>O22</xm:sqref>
            </x14:sparkline>
          </x14:sparklines>
        </x14:sparklineGroup>
        <x14:sparklineGroup displayEmptyCellsAs="gap" xr2:uid="{6D780989-C9FC-4EAE-9410-D3BA9004C97F}">
          <x14:colorSeries theme="1"/>
          <x14:colorNegative rgb="FFD00000"/>
          <x14:colorAxis rgb="FF000000"/>
          <x14:colorMarkers rgb="FFD00000"/>
          <x14:colorFirst rgb="FFD00000"/>
          <x14:colorLast rgb="FFD00000"/>
          <x14:colorHigh rgb="FFD00000"/>
          <x14:colorLow rgb="FFD00000"/>
          <x14:sparklines>
            <x14:sparkline>
              <xm:f>'FY2020 Monthly Overview'!C21:N21</xm:f>
              <xm:sqref>O21</xm:sqref>
            </x14:sparkline>
          </x14:sparklines>
        </x14:sparklineGroup>
        <x14:sparklineGroup displayEmptyCellsAs="gap" xr2:uid="{1A0BDEEE-1422-496E-ADD9-F129599B923B}">
          <x14:colorSeries theme="1"/>
          <x14:colorNegative rgb="FFD00000"/>
          <x14:colorAxis rgb="FF000000"/>
          <x14:colorMarkers rgb="FFD00000"/>
          <x14:colorFirst rgb="FFD00000"/>
          <x14:colorLast rgb="FFD00000"/>
          <x14:colorHigh rgb="FFD00000"/>
          <x14:colorLow rgb="FFD00000"/>
          <x14:sparklines>
            <x14:sparkline>
              <xm:f>'FY2020 Monthly Overview'!C16:N16</xm:f>
              <xm:sqref>O16</xm:sqref>
            </x14:sparkline>
          </x14:sparklines>
        </x14:sparklineGroup>
        <x14:sparklineGroup displayEmptyCellsAs="gap" xr2:uid="{FB975CC5-3574-40AC-AECB-BD01DC6BAFE1}">
          <x14:colorSeries theme="1"/>
          <x14:colorNegative rgb="FFD00000"/>
          <x14:colorAxis rgb="FF000000"/>
          <x14:colorMarkers rgb="FFD00000"/>
          <x14:colorFirst rgb="FFD00000"/>
          <x14:colorLast rgb="FFD00000"/>
          <x14:colorHigh rgb="FFD00000"/>
          <x14:colorLow rgb="FFD00000"/>
          <x14:sparklines>
            <x14:sparkline>
              <xm:f>'FY2020 Monthly Overview'!C15:N15</xm:f>
              <xm:sqref>O15</xm:sqref>
            </x14:sparkline>
          </x14:sparklines>
        </x14:sparklineGroup>
        <x14:sparklineGroup displayEmptyCellsAs="gap" xr2:uid="{1F3F4E83-5111-491D-8CF6-52E3D438DB01}">
          <x14:colorSeries theme="1"/>
          <x14:colorNegative rgb="FFD00000"/>
          <x14:colorAxis rgb="FF000000"/>
          <x14:colorMarkers rgb="FFD00000"/>
          <x14:colorFirst rgb="FFD00000"/>
          <x14:colorLast rgb="FFD00000"/>
          <x14:colorHigh rgb="FFD00000"/>
          <x14:colorLow rgb="FFD00000"/>
          <x14:sparklines>
            <x14:sparkline>
              <xm:f>'FY2020 Monthly Overview'!C14:N14</xm:f>
              <xm:sqref>O14</xm:sqref>
            </x14:sparkline>
          </x14:sparklines>
        </x14:sparklineGroup>
        <x14:sparklineGroup displayEmptyCellsAs="gap" xr2:uid="{59B6BB3B-CD8F-45FD-9017-03704508655C}">
          <x14:colorSeries theme="1"/>
          <x14:colorNegative rgb="FFD00000"/>
          <x14:colorAxis rgb="FF000000"/>
          <x14:colorMarkers rgb="FFD00000"/>
          <x14:colorFirst rgb="FFD00000"/>
          <x14:colorLast rgb="FFD00000"/>
          <x14:colorHigh rgb="FFD00000"/>
          <x14:colorLow rgb="FFD00000"/>
          <x14:sparklines>
            <x14:sparkline>
              <xm:f>'FY2020 Monthly Overview'!C11:N11</xm:f>
              <xm:sqref>O11</xm:sqref>
            </x14:sparkline>
          </x14:sparklines>
        </x14:sparklineGroup>
        <x14:sparklineGroup displayEmptyCellsAs="gap" xr2:uid="{D25D3D36-D9BD-4D0E-BD3B-99B7C561854E}">
          <x14:colorSeries theme="1"/>
          <x14:colorNegative rgb="FFD00000"/>
          <x14:colorAxis rgb="FF000000"/>
          <x14:colorMarkers rgb="FFD00000"/>
          <x14:colorFirst rgb="FFD00000"/>
          <x14:colorLast rgb="FFD00000"/>
          <x14:colorHigh rgb="FFD00000"/>
          <x14:colorLow rgb="FFD00000"/>
          <x14:sparklines>
            <x14:sparkline>
              <xm:f>'FY2020 Monthly Overview'!C10:N10</xm:f>
              <xm:sqref>O10</xm:sqref>
            </x14:sparkline>
          </x14:sparklines>
        </x14:sparklineGroup>
        <x14:sparklineGroup displayEmptyCellsAs="gap" xr2:uid="{9879DAAF-3455-4180-B713-7A6F145BB8E7}">
          <x14:colorSeries theme="1"/>
          <x14:colorNegative rgb="FFD00000"/>
          <x14:colorAxis rgb="FF000000"/>
          <x14:colorMarkers rgb="FFD00000"/>
          <x14:colorFirst rgb="FFD00000"/>
          <x14:colorLast rgb="FFD00000"/>
          <x14:colorHigh rgb="FFD00000"/>
          <x14:colorLow rgb="FFD00000"/>
          <x14:sparklines>
            <x14:sparkline>
              <xm:f>'FY2020 Monthly Overview'!C9:N9</xm:f>
              <xm:sqref>O9</xm:sqref>
            </x14:sparkline>
          </x14:sparklines>
        </x14:sparklineGroup>
      </x14:sparklineGroup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9A30C-0D99-4FEB-94DA-F48CEEEEC6C6}">
  <dimension ref="A1:F84"/>
  <sheetViews>
    <sheetView topLeftCell="A16" workbookViewId="0">
      <selection activeCell="D54" sqref="D54"/>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526712</v>
      </c>
      <c r="B2" s="35" t="s">
        <v>14</v>
      </c>
      <c r="C2" s="35" t="s">
        <v>309</v>
      </c>
      <c r="D2" s="35" t="s">
        <v>1689</v>
      </c>
      <c r="E2" s="35">
        <v>35.64</v>
      </c>
      <c r="F2" s="34">
        <v>43497</v>
      </c>
    </row>
    <row r="3" spans="1:6" ht="15.75" x14ac:dyDescent="0.25">
      <c r="A3" s="35">
        <v>526712</v>
      </c>
      <c r="B3" s="35" t="s">
        <v>14</v>
      </c>
      <c r="C3" s="35" t="s">
        <v>1690</v>
      </c>
      <c r="D3" s="35" t="s">
        <v>1691</v>
      </c>
      <c r="E3" s="35">
        <v>35.96</v>
      </c>
      <c r="F3" s="34">
        <v>43497</v>
      </c>
    </row>
    <row r="4" spans="1:6" ht="15.75" x14ac:dyDescent="0.25">
      <c r="A4" s="35">
        <v>526712</v>
      </c>
      <c r="B4" s="35" t="s">
        <v>14</v>
      </c>
      <c r="C4" s="35" t="s">
        <v>1431</v>
      </c>
      <c r="D4" s="35" t="s">
        <v>1692</v>
      </c>
      <c r="E4" s="35">
        <v>49.5</v>
      </c>
      <c r="F4" s="34">
        <v>43497</v>
      </c>
    </row>
    <row r="5" spans="1:6" ht="15.75" x14ac:dyDescent="0.25">
      <c r="A5" s="35">
        <v>526712</v>
      </c>
      <c r="B5" s="35" t="s">
        <v>14</v>
      </c>
      <c r="C5" s="35" t="s">
        <v>927</v>
      </c>
      <c r="D5" s="35" t="s">
        <v>1693</v>
      </c>
      <c r="E5" s="35">
        <v>56.1</v>
      </c>
      <c r="F5" s="34">
        <v>43497</v>
      </c>
    </row>
    <row r="6" spans="1:6" ht="15.75" x14ac:dyDescent="0.25">
      <c r="A6" s="35">
        <v>526712</v>
      </c>
      <c r="B6" s="35" t="s">
        <v>14</v>
      </c>
      <c r="C6" s="35" t="s">
        <v>789</v>
      </c>
      <c r="D6" s="35" t="s">
        <v>1694</v>
      </c>
      <c r="E6" s="35">
        <v>77.22</v>
      </c>
      <c r="F6" s="34">
        <v>43497</v>
      </c>
    </row>
    <row r="7" spans="1:6" ht="15.75" x14ac:dyDescent="0.25">
      <c r="A7" s="35">
        <v>526712</v>
      </c>
      <c r="B7" s="35" t="s">
        <v>14</v>
      </c>
      <c r="C7" s="35" t="s">
        <v>1029</v>
      </c>
      <c r="D7" s="35" t="s">
        <v>1695</v>
      </c>
      <c r="E7" s="35">
        <v>77.22</v>
      </c>
      <c r="F7" s="34">
        <v>43497</v>
      </c>
    </row>
    <row r="8" spans="1:6" ht="15.75" x14ac:dyDescent="0.25">
      <c r="A8" s="35">
        <v>526741</v>
      </c>
      <c r="B8" s="35" t="s">
        <v>23</v>
      </c>
      <c r="C8" s="35" t="s">
        <v>1685</v>
      </c>
      <c r="D8" s="35" t="s">
        <v>1696</v>
      </c>
      <c r="E8" s="35">
        <v>84.8</v>
      </c>
      <c r="F8" s="34">
        <v>43497</v>
      </c>
    </row>
    <row r="9" spans="1:6" ht="15.75" x14ac:dyDescent="0.25">
      <c r="A9" s="35">
        <v>526712</v>
      </c>
      <c r="B9" s="35" t="s">
        <v>14</v>
      </c>
      <c r="C9" s="35" t="s">
        <v>1536</v>
      </c>
      <c r="D9" s="35" t="s">
        <v>1697</v>
      </c>
      <c r="E9" s="35">
        <v>86.46</v>
      </c>
      <c r="F9" s="34">
        <v>43497</v>
      </c>
    </row>
    <row r="10" spans="1:6" ht="15.75" x14ac:dyDescent="0.25">
      <c r="A10" s="35">
        <v>526712</v>
      </c>
      <c r="B10" s="35" t="s">
        <v>14</v>
      </c>
      <c r="C10" s="35" t="s">
        <v>1486</v>
      </c>
      <c r="D10" s="35" t="s">
        <v>1698</v>
      </c>
      <c r="E10" s="35">
        <v>105.6</v>
      </c>
      <c r="F10" s="34">
        <v>43497</v>
      </c>
    </row>
    <row r="11" spans="1:6" ht="15.75" x14ac:dyDescent="0.25">
      <c r="A11" s="35">
        <v>526712</v>
      </c>
      <c r="B11" s="35" t="s">
        <v>14</v>
      </c>
      <c r="C11" s="35" t="s">
        <v>1151</v>
      </c>
      <c r="D11" s="35" t="s">
        <v>1699</v>
      </c>
      <c r="E11" s="35">
        <v>134.63999999999999</v>
      </c>
      <c r="F11" s="34">
        <v>43497</v>
      </c>
    </row>
    <row r="12" spans="1:6" ht="15.75" x14ac:dyDescent="0.25">
      <c r="A12" s="35">
        <v>526712</v>
      </c>
      <c r="B12" s="35" t="s">
        <v>14</v>
      </c>
      <c r="C12" s="35" t="s">
        <v>785</v>
      </c>
      <c r="D12" s="35" t="s">
        <v>1700</v>
      </c>
      <c r="E12" s="35">
        <v>134.63999999999999</v>
      </c>
      <c r="F12" s="34">
        <v>43497</v>
      </c>
    </row>
    <row r="13" spans="1:6" ht="15.75" x14ac:dyDescent="0.25">
      <c r="A13" s="35">
        <v>526712</v>
      </c>
      <c r="B13" s="35" t="s">
        <v>14</v>
      </c>
      <c r="C13" s="35" t="s">
        <v>1598</v>
      </c>
      <c r="D13" s="35" t="s">
        <v>1701</v>
      </c>
      <c r="E13" s="35">
        <v>160.38</v>
      </c>
      <c r="F13" s="34">
        <v>43497</v>
      </c>
    </row>
    <row r="14" spans="1:6" ht="15.75" x14ac:dyDescent="0.25">
      <c r="A14" s="35">
        <v>526712</v>
      </c>
      <c r="B14" s="35" t="s">
        <v>14</v>
      </c>
      <c r="C14" s="35" t="s">
        <v>961</v>
      </c>
      <c r="D14" s="35" t="s">
        <v>1702</v>
      </c>
      <c r="E14" s="35">
        <v>166.32</v>
      </c>
      <c r="F14" s="34">
        <v>43497</v>
      </c>
    </row>
    <row r="15" spans="1:6" ht="15.75" x14ac:dyDescent="0.25">
      <c r="A15" s="35">
        <v>526743</v>
      </c>
      <c r="B15" s="35" t="s">
        <v>1703</v>
      </c>
      <c r="C15" s="35" t="s">
        <v>1390</v>
      </c>
      <c r="D15" s="35" t="s">
        <v>1704</v>
      </c>
      <c r="E15" s="35">
        <v>210</v>
      </c>
      <c r="F15" s="34">
        <v>43497</v>
      </c>
    </row>
    <row r="16" spans="1:6" ht="15.75" x14ac:dyDescent="0.25">
      <c r="A16" s="35">
        <v>526741</v>
      </c>
      <c r="B16" s="35" t="s">
        <v>23</v>
      </c>
      <c r="C16" s="35" t="s">
        <v>146</v>
      </c>
      <c r="D16" s="35" t="s">
        <v>1705</v>
      </c>
      <c r="E16" s="35">
        <v>453.68</v>
      </c>
      <c r="F16" s="34">
        <v>43497</v>
      </c>
    </row>
    <row r="17" spans="1:6" ht="15.75" x14ac:dyDescent="0.25">
      <c r="A17" s="35">
        <v>558921</v>
      </c>
      <c r="B17" s="35" t="s">
        <v>262</v>
      </c>
      <c r="C17" s="35" t="s">
        <v>1390</v>
      </c>
      <c r="D17" s="35" t="s">
        <v>1706</v>
      </c>
      <c r="E17" s="35">
        <v>990</v>
      </c>
      <c r="F17" s="34">
        <v>43497</v>
      </c>
    </row>
    <row r="18" spans="1:6" ht="15.75" x14ac:dyDescent="0.25">
      <c r="A18" s="35">
        <v>526741</v>
      </c>
      <c r="B18" s="35" t="s">
        <v>23</v>
      </c>
      <c r="C18" s="35" t="s">
        <v>1685</v>
      </c>
      <c r="D18" s="35" t="s">
        <v>1707</v>
      </c>
      <c r="E18" s="35">
        <v>84.8</v>
      </c>
      <c r="F18" s="34">
        <v>43500</v>
      </c>
    </row>
    <row r="19" spans="1:6" ht="15.75" x14ac:dyDescent="0.25">
      <c r="A19" s="35">
        <v>526712</v>
      </c>
      <c r="B19" s="35" t="s">
        <v>14</v>
      </c>
      <c r="C19" s="35" t="s">
        <v>1708</v>
      </c>
      <c r="D19" s="35" t="s">
        <v>1709</v>
      </c>
      <c r="E19" s="35">
        <v>-133.97999999999999</v>
      </c>
      <c r="F19" s="34">
        <v>43501</v>
      </c>
    </row>
    <row r="20" spans="1:6" ht="15.75" x14ac:dyDescent="0.25">
      <c r="A20" s="35">
        <v>526712</v>
      </c>
      <c r="B20" s="35" t="s">
        <v>14</v>
      </c>
      <c r="C20" s="35" t="s">
        <v>1710</v>
      </c>
      <c r="D20" s="35" t="s">
        <v>1711</v>
      </c>
      <c r="E20" s="35">
        <v>36.299999999999997</v>
      </c>
      <c r="F20" s="34">
        <v>43501</v>
      </c>
    </row>
    <row r="21" spans="1:6" ht="15.75" x14ac:dyDescent="0.25">
      <c r="A21" s="35">
        <v>526712</v>
      </c>
      <c r="B21" s="35" t="s">
        <v>14</v>
      </c>
      <c r="C21" s="35" t="s">
        <v>1519</v>
      </c>
      <c r="D21" s="35" t="s">
        <v>1712</v>
      </c>
      <c r="E21" s="35">
        <v>77.22</v>
      </c>
      <c r="F21" s="34">
        <v>43501</v>
      </c>
    </row>
    <row r="22" spans="1:6" ht="15.75" x14ac:dyDescent="0.25">
      <c r="A22" s="35">
        <v>487110</v>
      </c>
      <c r="B22" s="35" t="s">
        <v>36</v>
      </c>
      <c r="C22" s="35" t="s">
        <v>1713</v>
      </c>
      <c r="D22" s="35" t="s">
        <v>1714</v>
      </c>
      <c r="E22" s="35">
        <v>2794.32</v>
      </c>
      <c r="F22" s="34">
        <v>43503</v>
      </c>
    </row>
    <row r="23" spans="1:6" ht="15.75" x14ac:dyDescent="0.25">
      <c r="A23" s="35">
        <v>587890</v>
      </c>
      <c r="B23" s="35" t="s">
        <v>32</v>
      </c>
      <c r="C23" s="35" t="s">
        <v>1715</v>
      </c>
      <c r="D23" s="35" t="s">
        <v>1716</v>
      </c>
      <c r="E23" s="35">
        <v>2100</v>
      </c>
      <c r="F23" s="34">
        <v>43504</v>
      </c>
    </row>
    <row r="24" spans="1:6" ht="15.75" x14ac:dyDescent="0.25">
      <c r="A24" s="35">
        <v>526712</v>
      </c>
      <c r="B24" s="35" t="s">
        <v>14</v>
      </c>
      <c r="C24" s="35" t="s">
        <v>1717</v>
      </c>
      <c r="D24" s="35" t="s">
        <v>1718</v>
      </c>
      <c r="E24" s="35">
        <v>49.5</v>
      </c>
      <c r="F24" s="34">
        <v>43507</v>
      </c>
    </row>
    <row r="25" spans="1:6" ht="15.75" x14ac:dyDescent="0.25">
      <c r="A25" s="35">
        <v>587890</v>
      </c>
      <c r="B25" s="35" t="s">
        <v>32</v>
      </c>
      <c r="C25" s="35" t="s">
        <v>348</v>
      </c>
      <c r="D25" s="35" t="s">
        <v>1719</v>
      </c>
      <c r="E25" s="35">
        <v>489.3</v>
      </c>
      <c r="F25" s="34">
        <v>43508</v>
      </c>
    </row>
    <row r="26" spans="1:6" ht="15.75" x14ac:dyDescent="0.25">
      <c r="A26" s="35">
        <v>587890</v>
      </c>
      <c r="B26" s="35" t="s">
        <v>32</v>
      </c>
      <c r="C26" s="35" t="s">
        <v>1390</v>
      </c>
      <c r="D26" s="35" t="s">
        <v>1720</v>
      </c>
      <c r="E26" s="35">
        <v>2992.03</v>
      </c>
      <c r="F26" s="34">
        <v>43508</v>
      </c>
    </row>
    <row r="27" spans="1:6" ht="15.75" x14ac:dyDescent="0.25">
      <c r="A27" s="35">
        <v>587890</v>
      </c>
      <c r="B27" s="35" t="s">
        <v>32</v>
      </c>
      <c r="C27" s="35" t="s">
        <v>1390</v>
      </c>
      <c r="D27" s="35" t="s">
        <v>1721</v>
      </c>
      <c r="E27" s="35">
        <v>2992.64</v>
      </c>
      <c r="F27" s="34">
        <v>43508</v>
      </c>
    </row>
    <row r="28" spans="1:6" ht="15.75" x14ac:dyDescent="0.25">
      <c r="A28" s="35">
        <v>587890</v>
      </c>
      <c r="B28" s="35" t="s">
        <v>32</v>
      </c>
      <c r="C28" s="35" t="s">
        <v>1722</v>
      </c>
      <c r="D28" s="35" t="s">
        <v>1723</v>
      </c>
      <c r="E28" s="35">
        <v>2994.48</v>
      </c>
      <c r="F28" s="34">
        <v>43508</v>
      </c>
    </row>
    <row r="29" spans="1:6" ht="15.75" x14ac:dyDescent="0.25">
      <c r="A29" s="35">
        <v>526150</v>
      </c>
      <c r="B29" s="35" t="s">
        <v>258</v>
      </c>
      <c r="C29" s="35" t="s">
        <v>1724</v>
      </c>
      <c r="D29" s="35" t="s">
        <v>1725</v>
      </c>
      <c r="E29" s="35">
        <v>18.899999999999999</v>
      </c>
      <c r="F29" s="34">
        <v>43509</v>
      </c>
    </row>
    <row r="30" spans="1:6" ht="15.75" x14ac:dyDescent="0.25">
      <c r="A30" s="35">
        <v>526150</v>
      </c>
      <c r="B30" s="35" t="s">
        <v>258</v>
      </c>
      <c r="C30" s="35" t="s">
        <v>1158</v>
      </c>
      <c r="D30" s="35" t="s">
        <v>1726</v>
      </c>
      <c r="E30" s="35">
        <v>18.899999999999999</v>
      </c>
      <c r="F30" s="34">
        <v>43509</v>
      </c>
    </row>
    <row r="31" spans="1:6" ht="15.75" x14ac:dyDescent="0.25">
      <c r="A31" s="35">
        <v>526120</v>
      </c>
      <c r="B31" s="35" t="s">
        <v>217</v>
      </c>
      <c r="C31" s="35" t="s">
        <v>1724</v>
      </c>
      <c r="D31" s="35" t="s">
        <v>1725</v>
      </c>
      <c r="E31" s="35">
        <v>36.299999999999997</v>
      </c>
      <c r="F31" s="34">
        <v>43509</v>
      </c>
    </row>
    <row r="32" spans="1:6" ht="15.75" x14ac:dyDescent="0.25">
      <c r="A32" s="35">
        <v>526120</v>
      </c>
      <c r="B32" s="35" t="s">
        <v>217</v>
      </c>
      <c r="C32" s="35" t="s">
        <v>1158</v>
      </c>
      <c r="D32" s="35" t="s">
        <v>1726</v>
      </c>
      <c r="E32" s="35">
        <v>36.299999999999997</v>
      </c>
      <c r="F32" s="34">
        <v>43509</v>
      </c>
    </row>
    <row r="33" spans="1:6" ht="15.75" x14ac:dyDescent="0.25">
      <c r="A33" s="35">
        <v>487110</v>
      </c>
      <c r="B33" s="35" t="s">
        <v>36</v>
      </c>
      <c r="C33" s="35" t="s">
        <v>1727</v>
      </c>
      <c r="D33" s="35" t="s">
        <v>1728</v>
      </c>
      <c r="E33" s="35">
        <v>1571.53</v>
      </c>
      <c r="F33" s="34">
        <v>43509</v>
      </c>
    </row>
    <row r="34" spans="1:6" ht="15.75" x14ac:dyDescent="0.25">
      <c r="A34" s="35">
        <v>487110</v>
      </c>
      <c r="B34" s="35" t="s">
        <v>36</v>
      </c>
      <c r="C34" s="35" t="s">
        <v>1729</v>
      </c>
      <c r="D34" s="35" t="s">
        <v>1730</v>
      </c>
      <c r="E34" s="35">
        <v>11758.16</v>
      </c>
      <c r="F34" s="34">
        <v>43511</v>
      </c>
    </row>
    <row r="35" spans="1:6" ht="15.75" x14ac:dyDescent="0.25">
      <c r="A35" s="35">
        <v>487110</v>
      </c>
      <c r="B35" s="35" t="s">
        <v>36</v>
      </c>
      <c r="C35" s="35" t="s">
        <v>1731</v>
      </c>
      <c r="D35" s="35" t="s">
        <v>1732</v>
      </c>
      <c r="E35" s="35">
        <v>12458.21</v>
      </c>
      <c r="F35" s="34">
        <v>43511</v>
      </c>
    </row>
    <row r="36" spans="1:6" ht="15.75" x14ac:dyDescent="0.25">
      <c r="A36" s="35">
        <v>558979</v>
      </c>
      <c r="B36" s="35" t="s">
        <v>150</v>
      </c>
      <c r="C36" s="35" t="s">
        <v>1523</v>
      </c>
      <c r="D36" s="35" t="s">
        <v>1733</v>
      </c>
      <c r="E36" s="35">
        <v>125</v>
      </c>
      <c r="F36" s="34">
        <v>43514</v>
      </c>
    </row>
    <row r="37" spans="1:6" ht="15.75" x14ac:dyDescent="0.25">
      <c r="A37" s="35">
        <v>558979</v>
      </c>
      <c r="B37" s="35" t="s">
        <v>150</v>
      </c>
      <c r="C37" s="35" t="s">
        <v>1533</v>
      </c>
      <c r="D37" s="35" t="s">
        <v>1734</v>
      </c>
      <c r="E37" s="35">
        <v>125</v>
      </c>
      <c r="F37" s="34">
        <v>43514</v>
      </c>
    </row>
    <row r="38" spans="1:6" ht="15.75" x14ac:dyDescent="0.25">
      <c r="A38" s="35">
        <v>558979</v>
      </c>
      <c r="B38" s="35" t="s">
        <v>150</v>
      </c>
      <c r="C38" s="35" t="s">
        <v>21</v>
      </c>
      <c r="D38" s="35" t="s">
        <v>1735</v>
      </c>
      <c r="E38" s="35">
        <v>125</v>
      </c>
      <c r="F38" s="34">
        <v>43514</v>
      </c>
    </row>
    <row r="39" spans="1:6" ht="15.75" x14ac:dyDescent="0.25">
      <c r="A39" s="35">
        <v>558979</v>
      </c>
      <c r="B39" s="35" t="s">
        <v>150</v>
      </c>
      <c r="C39" s="35" t="s">
        <v>1531</v>
      </c>
      <c r="D39" s="35" t="s">
        <v>1736</v>
      </c>
      <c r="E39" s="35">
        <v>125</v>
      </c>
      <c r="F39" s="34">
        <v>43514</v>
      </c>
    </row>
    <row r="40" spans="1:6" ht="15.75" x14ac:dyDescent="0.25">
      <c r="A40" s="35">
        <v>558979</v>
      </c>
      <c r="B40" s="35" t="s">
        <v>150</v>
      </c>
      <c r="C40" s="35" t="s">
        <v>1521</v>
      </c>
      <c r="D40" s="35" t="s">
        <v>1737</v>
      </c>
      <c r="E40" s="35">
        <v>125</v>
      </c>
      <c r="F40" s="34">
        <v>43514</v>
      </c>
    </row>
    <row r="41" spans="1:6" ht="15.75" x14ac:dyDescent="0.25">
      <c r="A41" s="35">
        <v>558979</v>
      </c>
      <c r="B41" s="35" t="s">
        <v>150</v>
      </c>
      <c r="C41" s="35" t="s">
        <v>1517</v>
      </c>
      <c r="D41" s="35" t="s">
        <v>1738</v>
      </c>
      <c r="E41" s="35">
        <v>125</v>
      </c>
      <c r="F41" s="34">
        <v>43514</v>
      </c>
    </row>
    <row r="42" spans="1:6" ht="15.75" x14ac:dyDescent="0.25">
      <c r="A42" s="35">
        <v>558979</v>
      </c>
      <c r="B42" s="35" t="s">
        <v>150</v>
      </c>
      <c r="C42" s="35" t="s">
        <v>1536</v>
      </c>
      <c r="D42" s="35" t="s">
        <v>1739</v>
      </c>
      <c r="E42" s="35">
        <v>125</v>
      </c>
      <c r="F42" s="34">
        <v>43514</v>
      </c>
    </row>
    <row r="43" spans="1:6" ht="15.75" x14ac:dyDescent="0.25">
      <c r="A43" s="35">
        <v>558979</v>
      </c>
      <c r="B43" s="35" t="s">
        <v>150</v>
      </c>
      <c r="C43" s="35" t="s">
        <v>1216</v>
      </c>
      <c r="D43" s="35" t="s">
        <v>1740</v>
      </c>
      <c r="E43" s="35">
        <v>125</v>
      </c>
      <c r="F43" s="34">
        <v>43514</v>
      </c>
    </row>
    <row r="44" spans="1:6" ht="15.75" x14ac:dyDescent="0.25">
      <c r="A44" s="35">
        <v>558979</v>
      </c>
      <c r="B44" s="35" t="s">
        <v>150</v>
      </c>
      <c r="C44" s="35" t="s">
        <v>1519</v>
      </c>
      <c r="D44" s="35" t="s">
        <v>1741</v>
      </c>
      <c r="E44" s="35">
        <v>125</v>
      </c>
      <c r="F44" s="34">
        <v>43514</v>
      </c>
    </row>
    <row r="45" spans="1:6" ht="15.75" x14ac:dyDescent="0.25">
      <c r="A45" s="35">
        <v>558979</v>
      </c>
      <c r="B45" s="35" t="s">
        <v>150</v>
      </c>
      <c r="C45" s="35" t="s">
        <v>1496</v>
      </c>
      <c r="D45" s="35" t="s">
        <v>1742</v>
      </c>
      <c r="E45" s="35">
        <v>125</v>
      </c>
      <c r="F45" s="34">
        <v>43514</v>
      </c>
    </row>
    <row r="46" spans="1:6" ht="15.75" x14ac:dyDescent="0.25">
      <c r="A46" s="35">
        <v>558979</v>
      </c>
      <c r="B46" s="35" t="s">
        <v>150</v>
      </c>
      <c r="C46" s="35" t="s">
        <v>1538</v>
      </c>
      <c r="D46" s="35" t="s">
        <v>1743</v>
      </c>
      <c r="E46" s="35">
        <v>125</v>
      </c>
      <c r="F46" s="34">
        <v>43514</v>
      </c>
    </row>
    <row r="47" spans="1:6" ht="15.75" x14ac:dyDescent="0.25">
      <c r="A47" s="35">
        <v>558979</v>
      </c>
      <c r="B47" s="35" t="s">
        <v>150</v>
      </c>
      <c r="C47" s="35" t="s">
        <v>1542</v>
      </c>
      <c r="D47" s="35" t="s">
        <v>1744</v>
      </c>
      <c r="E47" s="35">
        <v>125</v>
      </c>
      <c r="F47" s="34">
        <v>43514</v>
      </c>
    </row>
    <row r="48" spans="1:6" ht="15.75" x14ac:dyDescent="0.25">
      <c r="A48" s="35">
        <v>558979</v>
      </c>
      <c r="B48" s="35" t="s">
        <v>150</v>
      </c>
      <c r="C48" s="35" t="s">
        <v>1540</v>
      </c>
      <c r="D48" s="35" t="s">
        <v>1745</v>
      </c>
      <c r="E48" s="35">
        <v>125</v>
      </c>
      <c r="F48" s="34">
        <v>43514</v>
      </c>
    </row>
    <row r="49" spans="1:6" ht="15.75" x14ac:dyDescent="0.25">
      <c r="A49" s="35">
        <v>558979</v>
      </c>
      <c r="B49" s="35" t="s">
        <v>150</v>
      </c>
      <c r="C49" s="35" t="s">
        <v>1529</v>
      </c>
      <c r="D49" s="35" t="s">
        <v>1746</v>
      </c>
      <c r="E49" s="35">
        <v>125</v>
      </c>
      <c r="F49" s="34">
        <v>43514</v>
      </c>
    </row>
    <row r="50" spans="1:6" ht="15.75" x14ac:dyDescent="0.25">
      <c r="A50" s="35">
        <v>558979</v>
      </c>
      <c r="B50" s="35" t="s">
        <v>150</v>
      </c>
      <c r="C50" s="35" t="s">
        <v>1525</v>
      </c>
      <c r="D50" s="35" t="s">
        <v>1747</v>
      </c>
      <c r="E50" s="35">
        <v>125</v>
      </c>
      <c r="F50" s="34">
        <v>43514</v>
      </c>
    </row>
    <row r="51" spans="1:6" ht="15.75" x14ac:dyDescent="0.25">
      <c r="A51" s="35">
        <v>558979</v>
      </c>
      <c r="B51" s="35" t="s">
        <v>150</v>
      </c>
      <c r="C51" s="35" t="s">
        <v>1527</v>
      </c>
      <c r="D51" s="35" t="s">
        <v>1748</v>
      </c>
      <c r="E51" s="35">
        <v>125</v>
      </c>
      <c r="F51" s="34">
        <v>43514</v>
      </c>
    </row>
    <row r="52" spans="1:6" ht="15.75" x14ac:dyDescent="0.25">
      <c r="A52" s="35">
        <v>558979</v>
      </c>
      <c r="B52" s="35" t="s">
        <v>150</v>
      </c>
      <c r="C52" s="35" t="s">
        <v>927</v>
      </c>
      <c r="D52" s="35" t="s">
        <v>1749</v>
      </c>
      <c r="E52" s="35">
        <v>200</v>
      </c>
      <c r="F52" s="34">
        <v>43514</v>
      </c>
    </row>
    <row r="53" spans="1:6" ht="15.75" x14ac:dyDescent="0.25">
      <c r="A53" s="35">
        <v>558979</v>
      </c>
      <c r="B53" s="35" t="s">
        <v>150</v>
      </c>
      <c r="C53" s="35" t="s">
        <v>1062</v>
      </c>
      <c r="D53" s="35" t="s">
        <v>1750</v>
      </c>
      <c r="E53" s="35">
        <v>200</v>
      </c>
      <c r="F53" s="34">
        <v>43514</v>
      </c>
    </row>
    <row r="54" spans="1:6" ht="15.75" x14ac:dyDescent="0.25">
      <c r="A54" s="35">
        <v>558979</v>
      </c>
      <c r="B54" s="35" t="s">
        <v>150</v>
      </c>
      <c r="C54" s="35" t="s">
        <v>1415</v>
      </c>
      <c r="D54" s="35" t="s">
        <v>1751</v>
      </c>
      <c r="E54" s="35">
        <v>200</v>
      </c>
      <c r="F54" s="34">
        <v>43514</v>
      </c>
    </row>
    <row r="55" spans="1:6" ht="15.75" x14ac:dyDescent="0.25">
      <c r="A55" s="35">
        <v>558979</v>
      </c>
      <c r="B55" s="35" t="s">
        <v>150</v>
      </c>
      <c r="C55" s="35" t="s">
        <v>785</v>
      </c>
      <c r="D55" s="35" t="s">
        <v>1752</v>
      </c>
      <c r="E55" s="35">
        <v>200</v>
      </c>
      <c r="F55" s="34">
        <v>43514</v>
      </c>
    </row>
    <row r="56" spans="1:6" ht="15.75" x14ac:dyDescent="0.25">
      <c r="A56" s="35">
        <v>558979</v>
      </c>
      <c r="B56" s="35" t="s">
        <v>150</v>
      </c>
      <c r="C56" s="35" t="s">
        <v>1410</v>
      </c>
      <c r="D56" s="35" t="s">
        <v>1753</v>
      </c>
      <c r="E56" s="35">
        <v>200</v>
      </c>
      <c r="F56" s="34">
        <v>43514</v>
      </c>
    </row>
    <row r="57" spans="1:6" ht="15.75" x14ac:dyDescent="0.25">
      <c r="A57" s="35">
        <v>558979</v>
      </c>
      <c r="B57" s="35" t="s">
        <v>150</v>
      </c>
      <c r="C57" s="35" t="s">
        <v>1001</v>
      </c>
      <c r="D57" s="35" t="s">
        <v>1754</v>
      </c>
      <c r="E57" s="35">
        <v>200</v>
      </c>
      <c r="F57" s="34">
        <v>43514</v>
      </c>
    </row>
    <row r="58" spans="1:6" ht="15.75" x14ac:dyDescent="0.25">
      <c r="A58" s="35">
        <v>558979</v>
      </c>
      <c r="B58" s="35" t="s">
        <v>150</v>
      </c>
      <c r="C58" s="35" t="s">
        <v>1029</v>
      </c>
      <c r="D58" s="35" t="s">
        <v>1755</v>
      </c>
      <c r="E58" s="35">
        <v>225</v>
      </c>
      <c r="F58" s="34">
        <v>43514</v>
      </c>
    </row>
    <row r="59" spans="1:6" ht="15.75" x14ac:dyDescent="0.25">
      <c r="A59" s="35">
        <v>558979</v>
      </c>
      <c r="B59" s="35" t="s">
        <v>150</v>
      </c>
      <c r="C59" s="35" t="s">
        <v>789</v>
      </c>
      <c r="D59" s="35" t="s">
        <v>1756</v>
      </c>
      <c r="E59" s="35">
        <v>333.34</v>
      </c>
      <c r="F59" s="34">
        <v>43514</v>
      </c>
    </row>
    <row r="60" spans="1:6" ht="15.75" x14ac:dyDescent="0.25">
      <c r="A60" s="35">
        <v>558979</v>
      </c>
      <c r="B60" s="35" t="s">
        <v>150</v>
      </c>
      <c r="C60" s="35" t="s">
        <v>309</v>
      </c>
      <c r="D60" s="35" t="s">
        <v>1757</v>
      </c>
      <c r="E60" s="35">
        <v>541.66999999999996</v>
      </c>
      <c r="F60" s="34">
        <v>43514</v>
      </c>
    </row>
    <row r="61" spans="1:6" ht="15.75" x14ac:dyDescent="0.25">
      <c r="A61" s="35">
        <v>487110</v>
      </c>
      <c r="B61" s="35" t="s">
        <v>36</v>
      </c>
      <c r="C61" s="35" t="s">
        <v>1758</v>
      </c>
      <c r="D61" s="35" t="s">
        <v>1759</v>
      </c>
      <c r="E61" s="35">
        <v>8205.2900000000009</v>
      </c>
      <c r="F61" s="34">
        <v>43514</v>
      </c>
    </row>
    <row r="62" spans="1:6" ht="15.75" x14ac:dyDescent="0.25">
      <c r="A62" s="35">
        <v>487110</v>
      </c>
      <c r="B62" s="35" t="s">
        <v>36</v>
      </c>
      <c r="C62" s="35" t="s">
        <v>1400</v>
      </c>
      <c r="D62" s="35" t="s">
        <v>1760</v>
      </c>
      <c r="E62" s="35">
        <v>14867.41</v>
      </c>
      <c r="F62" s="34">
        <v>43514</v>
      </c>
    </row>
    <row r="63" spans="1:6" ht="15.75" x14ac:dyDescent="0.25">
      <c r="A63" s="35">
        <v>526712</v>
      </c>
      <c r="B63" s="35" t="s">
        <v>14</v>
      </c>
      <c r="C63" s="35" t="s">
        <v>1761</v>
      </c>
      <c r="D63" s="35" t="s">
        <v>1762</v>
      </c>
      <c r="E63" s="35">
        <v>73.260000000000005</v>
      </c>
      <c r="F63" s="34">
        <v>43515</v>
      </c>
    </row>
    <row r="64" spans="1:6" ht="15.75" x14ac:dyDescent="0.25">
      <c r="A64" s="35">
        <v>471271</v>
      </c>
      <c r="B64" s="35" t="s">
        <v>1763</v>
      </c>
      <c r="C64" s="35" t="s">
        <v>1764</v>
      </c>
      <c r="D64" s="35" t="s">
        <v>1765</v>
      </c>
      <c r="E64" s="35">
        <v>5.72</v>
      </c>
      <c r="F64" s="34">
        <v>43516</v>
      </c>
    </row>
    <row r="65" spans="1:6" ht="15.75" x14ac:dyDescent="0.25">
      <c r="A65" s="35">
        <v>526712</v>
      </c>
      <c r="B65" s="35" t="s">
        <v>14</v>
      </c>
      <c r="C65" s="35" t="s">
        <v>1151</v>
      </c>
      <c r="D65" s="35" t="s">
        <v>1766</v>
      </c>
      <c r="E65" s="35">
        <v>60.72</v>
      </c>
      <c r="F65" s="34">
        <v>43521</v>
      </c>
    </row>
    <row r="66" spans="1:6" ht="15.75" x14ac:dyDescent="0.25">
      <c r="A66" s="35">
        <v>526712</v>
      </c>
      <c r="B66" s="35" t="s">
        <v>14</v>
      </c>
      <c r="C66" s="35" t="s">
        <v>1431</v>
      </c>
      <c r="D66" s="35" t="s">
        <v>1767</v>
      </c>
      <c r="E66" s="35">
        <v>70.62</v>
      </c>
      <c r="F66" s="34">
        <v>43521</v>
      </c>
    </row>
    <row r="67" spans="1:6" ht="15.75" x14ac:dyDescent="0.25">
      <c r="A67" s="35">
        <v>526712</v>
      </c>
      <c r="B67" s="35" t="s">
        <v>14</v>
      </c>
      <c r="C67" s="35" t="s">
        <v>1690</v>
      </c>
      <c r="D67" s="35" t="s">
        <v>1768</v>
      </c>
      <c r="E67" s="35">
        <v>95.04</v>
      </c>
      <c r="F67" s="34">
        <v>43521</v>
      </c>
    </row>
    <row r="68" spans="1:6" ht="15.75" x14ac:dyDescent="0.25">
      <c r="A68" s="35">
        <v>526712</v>
      </c>
      <c r="B68" s="35" t="s">
        <v>14</v>
      </c>
      <c r="C68" s="35" t="s">
        <v>1029</v>
      </c>
      <c r="D68" s="35" t="s">
        <v>1769</v>
      </c>
      <c r="E68" s="35">
        <v>149.82</v>
      </c>
      <c r="F68" s="34">
        <v>43521</v>
      </c>
    </row>
    <row r="69" spans="1:6" ht="15.75" x14ac:dyDescent="0.25">
      <c r="A69" s="35">
        <v>526712</v>
      </c>
      <c r="B69" s="35" t="s">
        <v>14</v>
      </c>
      <c r="C69" s="35" t="s">
        <v>1519</v>
      </c>
      <c r="D69" s="35" t="s">
        <v>1770</v>
      </c>
      <c r="E69" s="35">
        <v>149.82</v>
      </c>
      <c r="F69" s="34">
        <v>43521</v>
      </c>
    </row>
    <row r="70" spans="1:6" ht="15.75" x14ac:dyDescent="0.25">
      <c r="A70" s="35">
        <v>487110</v>
      </c>
      <c r="B70" s="35" t="s">
        <v>36</v>
      </c>
      <c r="C70" s="35" t="s">
        <v>1771</v>
      </c>
      <c r="D70" s="35" t="s">
        <v>1772</v>
      </c>
      <c r="E70" s="35">
        <v>2586.8000000000002</v>
      </c>
      <c r="F70" s="34">
        <v>43521</v>
      </c>
    </row>
    <row r="71" spans="1:6" ht="15.75" x14ac:dyDescent="0.25">
      <c r="A71" s="35">
        <v>526712</v>
      </c>
      <c r="B71" s="35" t="s">
        <v>14</v>
      </c>
      <c r="C71" s="35" t="s">
        <v>785</v>
      </c>
      <c r="D71" s="35" t="s">
        <v>1773</v>
      </c>
      <c r="E71" s="35">
        <v>60.72</v>
      </c>
      <c r="F71" s="34">
        <v>43522</v>
      </c>
    </row>
    <row r="72" spans="1:6" ht="15.75" x14ac:dyDescent="0.25">
      <c r="A72" s="35">
        <v>526712</v>
      </c>
      <c r="B72" s="35" t="s">
        <v>14</v>
      </c>
      <c r="C72" s="35" t="s">
        <v>927</v>
      </c>
      <c r="D72" s="35" t="s">
        <v>1774</v>
      </c>
      <c r="E72" s="35">
        <v>72.599999999999994</v>
      </c>
      <c r="F72" s="34">
        <v>43522</v>
      </c>
    </row>
    <row r="73" spans="1:6" ht="15.75" x14ac:dyDescent="0.25">
      <c r="A73" s="35">
        <v>526712</v>
      </c>
      <c r="B73" s="35" t="s">
        <v>14</v>
      </c>
      <c r="C73" s="35" t="s">
        <v>1304</v>
      </c>
      <c r="D73" s="35" t="s">
        <v>1775</v>
      </c>
      <c r="E73" s="35">
        <v>75.239999999999995</v>
      </c>
      <c r="F73" s="34">
        <v>43522</v>
      </c>
    </row>
    <row r="74" spans="1:6" ht="15.75" x14ac:dyDescent="0.25">
      <c r="A74" s="35">
        <v>526712</v>
      </c>
      <c r="B74" s="35" t="s">
        <v>14</v>
      </c>
      <c r="C74" s="35" t="s">
        <v>1350</v>
      </c>
      <c r="D74" s="35" t="s">
        <v>1776</v>
      </c>
      <c r="E74" s="35">
        <v>83.82</v>
      </c>
      <c r="F74" s="34">
        <v>43522</v>
      </c>
    </row>
    <row r="75" spans="1:6" ht="15.75" x14ac:dyDescent="0.25">
      <c r="A75" s="35">
        <v>526712</v>
      </c>
      <c r="B75" s="35" t="s">
        <v>14</v>
      </c>
      <c r="C75" s="35" t="s">
        <v>1777</v>
      </c>
      <c r="D75" s="35" t="s">
        <v>1778</v>
      </c>
      <c r="E75" s="35">
        <v>86.46</v>
      </c>
      <c r="F75" s="34">
        <v>43522</v>
      </c>
    </row>
    <row r="76" spans="1:6" ht="15.75" x14ac:dyDescent="0.25">
      <c r="A76" s="35">
        <v>526712</v>
      </c>
      <c r="B76" s="35" t="s">
        <v>14</v>
      </c>
      <c r="C76" s="35" t="s">
        <v>1761</v>
      </c>
      <c r="D76" s="35" t="s">
        <v>1779</v>
      </c>
      <c r="E76" s="35">
        <v>99.66</v>
      </c>
      <c r="F76" s="34">
        <v>43522</v>
      </c>
    </row>
    <row r="77" spans="1:6" ht="15.75" x14ac:dyDescent="0.25">
      <c r="A77" s="35">
        <v>526712</v>
      </c>
      <c r="B77" s="35" t="s">
        <v>14</v>
      </c>
      <c r="C77" s="35" t="s">
        <v>789</v>
      </c>
      <c r="D77" s="35" t="s">
        <v>1780</v>
      </c>
      <c r="E77" s="35">
        <v>149.82</v>
      </c>
      <c r="F77" s="34">
        <v>43522</v>
      </c>
    </row>
    <row r="78" spans="1:6" ht="15.75" x14ac:dyDescent="0.25">
      <c r="A78" s="35">
        <v>526712</v>
      </c>
      <c r="B78" s="35" t="s">
        <v>14</v>
      </c>
      <c r="C78" s="35" t="s">
        <v>1309</v>
      </c>
      <c r="D78" s="35" t="s">
        <v>1781</v>
      </c>
      <c r="E78" s="35">
        <v>189.42</v>
      </c>
      <c r="F78" s="34">
        <v>43522</v>
      </c>
    </row>
    <row r="79" spans="1:6" ht="15.75" x14ac:dyDescent="0.25">
      <c r="A79" s="35">
        <v>515130</v>
      </c>
      <c r="B79" s="35" t="s">
        <v>10</v>
      </c>
      <c r="C79" s="35" t="s">
        <v>7</v>
      </c>
      <c r="D79" s="35" t="s">
        <v>1782</v>
      </c>
      <c r="E79" s="35">
        <v>62.99</v>
      </c>
      <c r="F79" s="34">
        <v>43524</v>
      </c>
    </row>
    <row r="80" spans="1:6" ht="15.75" x14ac:dyDescent="0.25">
      <c r="A80" s="35">
        <v>515120</v>
      </c>
      <c r="B80" s="35" t="s">
        <v>9</v>
      </c>
      <c r="C80" s="35" t="s">
        <v>7</v>
      </c>
      <c r="D80" s="35" t="s">
        <v>1782</v>
      </c>
      <c r="E80" s="35">
        <v>269.35000000000002</v>
      </c>
      <c r="F80" s="34">
        <v>43524</v>
      </c>
    </row>
    <row r="81" spans="1:6" ht="15.75" x14ac:dyDescent="0.25">
      <c r="A81" s="35">
        <v>515420</v>
      </c>
      <c r="B81" s="35" t="s">
        <v>12</v>
      </c>
      <c r="C81" s="35" t="s">
        <v>7</v>
      </c>
      <c r="D81" s="35" t="s">
        <v>1782</v>
      </c>
      <c r="E81" s="35">
        <v>283.11</v>
      </c>
      <c r="F81" s="34">
        <v>43524</v>
      </c>
    </row>
    <row r="82" spans="1:6" ht="15.75" x14ac:dyDescent="0.25">
      <c r="A82" s="35">
        <v>515410</v>
      </c>
      <c r="B82" s="35" t="s">
        <v>11</v>
      </c>
      <c r="C82" s="35" t="s">
        <v>7</v>
      </c>
      <c r="D82" s="35" t="s">
        <v>1782</v>
      </c>
      <c r="E82" s="35">
        <v>302.10000000000002</v>
      </c>
      <c r="F82" s="34">
        <v>43524</v>
      </c>
    </row>
    <row r="83" spans="1:6" ht="15.75" x14ac:dyDescent="0.25">
      <c r="A83" s="35">
        <v>515530</v>
      </c>
      <c r="B83" s="35" t="s">
        <v>13</v>
      </c>
      <c r="C83" s="35" t="s">
        <v>7</v>
      </c>
      <c r="D83" s="35" t="s">
        <v>1782</v>
      </c>
      <c r="E83" s="35">
        <v>348.28</v>
      </c>
      <c r="F83" s="34">
        <v>43524</v>
      </c>
    </row>
    <row r="84" spans="1:6" ht="15.75" x14ac:dyDescent="0.25">
      <c r="A84" s="35">
        <v>511120</v>
      </c>
      <c r="B84" s="35" t="s">
        <v>6</v>
      </c>
      <c r="C84" s="35" t="s">
        <v>7</v>
      </c>
      <c r="D84" s="35" t="s">
        <v>1782</v>
      </c>
      <c r="E84" s="35">
        <v>4416.6400000000003</v>
      </c>
      <c r="F84" s="34">
        <v>43524</v>
      </c>
    </row>
  </sheetData>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40B11-366A-4754-B4A5-E50AC91209ED}">
  <dimension ref="A1:F207"/>
  <sheetViews>
    <sheetView topLeftCell="A13" workbookViewId="0">
      <selection activeCell="C15" sqref="C15"/>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526713</v>
      </c>
      <c r="B2" s="35" t="s">
        <v>757</v>
      </c>
      <c r="C2" s="35" t="s">
        <v>1632</v>
      </c>
      <c r="D2" s="35" t="s">
        <v>1633</v>
      </c>
      <c r="E2" s="35">
        <v>10.029999999999999</v>
      </c>
      <c r="F2" s="34">
        <v>43466</v>
      </c>
    </row>
    <row r="3" spans="1:6" ht="15.75" x14ac:dyDescent="0.25">
      <c r="A3" s="35">
        <v>526713</v>
      </c>
      <c r="B3" s="35" t="s">
        <v>757</v>
      </c>
      <c r="C3" s="35" t="s">
        <v>1632</v>
      </c>
      <c r="D3" s="35" t="s">
        <v>1634</v>
      </c>
      <c r="E3" s="35">
        <v>14.5</v>
      </c>
      <c r="F3" s="34">
        <v>43466</v>
      </c>
    </row>
    <row r="4" spans="1:6" ht="15.75" x14ac:dyDescent="0.25">
      <c r="A4" s="35">
        <v>526712</v>
      </c>
      <c r="B4" s="35" t="s">
        <v>14</v>
      </c>
      <c r="C4" s="35" t="s">
        <v>1490</v>
      </c>
      <c r="D4" s="35" t="s">
        <v>1635</v>
      </c>
      <c r="E4" s="35">
        <v>62.04</v>
      </c>
      <c r="F4" s="34">
        <v>43467</v>
      </c>
    </row>
    <row r="5" spans="1:6" ht="15.75" x14ac:dyDescent="0.25">
      <c r="A5" s="35">
        <v>526712</v>
      </c>
      <c r="B5" s="35" t="s">
        <v>14</v>
      </c>
      <c r="C5" s="35" t="s">
        <v>1412</v>
      </c>
      <c r="D5" s="35" t="s">
        <v>1636</v>
      </c>
      <c r="E5" s="35">
        <v>10.9</v>
      </c>
      <c r="F5" s="34">
        <v>43468</v>
      </c>
    </row>
    <row r="6" spans="1:6" ht="15.75" x14ac:dyDescent="0.25">
      <c r="A6" s="35">
        <v>526712</v>
      </c>
      <c r="B6" s="35" t="s">
        <v>14</v>
      </c>
      <c r="C6" s="35" t="s">
        <v>309</v>
      </c>
      <c r="D6" s="35" t="s">
        <v>1637</v>
      </c>
      <c r="E6" s="35">
        <v>21.8</v>
      </c>
      <c r="F6" s="34">
        <v>43468</v>
      </c>
    </row>
    <row r="7" spans="1:6" ht="15.75" x14ac:dyDescent="0.25">
      <c r="A7" s="35">
        <v>526712</v>
      </c>
      <c r="B7" s="35" t="s">
        <v>14</v>
      </c>
      <c r="C7" s="35" t="s">
        <v>1350</v>
      </c>
      <c r="D7" s="35" t="s">
        <v>1638</v>
      </c>
      <c r="E7" s="35">
        <v>36.96</v>
      </c>
      <c r="F7" s="34">
        <v>43468</v>
      </c>
    </row>
    <row r="8" spans="1:6" ht="15.75" x14ac:dyDescent="0.25">
      <c r="A8" s="35">
        <v>526712</v>
      </c>
      <c r="B8" s="35" t="s">
        <v>14</v>
      </c>
      <c r="C8" s="35" t="s">
        <v>927</v>
      </c>
      <c r="D8" s="35" t="s">
        <v>1639</v>
      </c>
      <c r="E8" s="35">
        <v>90.42</v>
      </c>
      <c r="F8" s="34">
        <v>43468</v>
      </c>
    </row>
    <row r="9" spans="1:6" ht="15.75" x14ac:dyDescent="0.25">
      <c r="A9" s="35">
        <v>526712</v>
      </c>
      <c r="B9" s="35" t="s">
        <v>14</v>
      </c>
      <c r="C9" s="35" t="s">
        <v>1151</v>
      </c>
      <c r="D9" s="35" t="s">
        <v>1640</v>
      </c>
      <c r="E9" s="35">
        <v>100.32</v>
      </c>
      <c r="F9" s="34">
        <v>43468</v>
      </c>
    </row>
    <row r="10" spans="1:6" ht="15.75" x14ac:dyDescent="0.25">
      <c r="A10" s="35">
        <v>526712</v>
      </c>
      <c r="B10" s="35" t="s">
        <v>14</v>
      </c>
      <c r="C10" s="35" t="s">
        <v>789</v>
      </c>
      <c r="D10" s="35" t="s">
        <v>1641</v>
      </c>
      <c r="E10" s="35">
        <v>110.88</v>
      </c>
      <c r="F10" s="34">
        <v>43468</v>
      </c>
    </row>
    <row r="11" spans="1:6" ht="15.75" x14ac:dyDescent="0.25">
      <c r="A11" s="35">
        <v>526712</v>
      </c>
      <c r="B11" s="35" t="s">
        <v>14</v>
      </c>
      <c r="C11" s="35" t="s">
        <v>1642</v>
      </c>
      <c r="D11" s="35" t="s">
        <v>1643</v>
      </c>
      <c r="E11" s="35">
        <v>178.86</v>
      </c>
      <c r="F11" s="34">
        <v>43468</v>
      </c>
    </row>
    <row r="12" spans="1:6" ht="15.75" x14ac:dyDescent="0.25">
      <c r="A12" s="35">
        <v>527120</v>
      </c>
      <c r="B12" s="35" t="s">
        <v>143</v>
      </c>
      <c r="C12" s="35" t="s">
        <v>144</v>
      </c>
      <c r="D12" s="35" t="s">
        <v>1644</v>
      </c>
      <c r="E12" s="35">
        <v>14.5</v>
      </c>
      <c r="F12" s="34">
        <v>43472</v>
      </c>
    </row>
    <row r="13" spans="1:6" ht="15.75" x14ac:dyDescent="0.25">
      <c r="A13" s="35">
        <v>527120</v>
      </c>
      <c r="B13" s="35" t="s">
        <v>143</v>
      </c>
      <c r="C13" s="35" t="s">
        <v>144</v>
      </c>
      <c r="D13" s="35" t="s">
        <v>1644</v>
      </c>
      <c r="E13" s="35">
        <v>14.5</v>
      </c>
      <c r="F13" s="34">
        <v>43472</v>
      </c>
    </row>
    <row r="14" spans="1:6" ht="15.75" x14ac:dyDescent="0.25">
      <c r="A14" s="35">
        <v>558921</v>
      </c>
      <c r="B14" s="35" t="s">
        <v>262</v>
      </c>
      <c r="C14" s="35" t="s">
        <v>462</v>
      </c>
      <c r="D14" s="35" t="s">
        <v>1645</v>
      </c>
      <c r="E14" s="35">
        <v>1950</v>
      </c>
      <c r="F14" s="34">
        <v>43481</v>
      </c>
    </row>
    <row r="15" spans="1:6" ht="15.75" x14ac:dyDescent="0.25">
      <c r="A15" s="35">
        <v>587890</v>
      </c>
      <c r="B15" s="35" t="s">
        <v>32</v>
      </c>
      <c r="C15" s="35" t="s">
        <v>462</v>
      </c>
      <c r="D15" s="35" t="s">
        <v>1645</v>
      </c>
      <c r="E15" s="35">
        <v>1950</v>
      </c>
      <c r="F15" s="34">
        <v>43481</v>
      </c>
    </row>
    <row r="16" spans="1:6" ht="15.75" x14ac:dyDescent="0.25">
      <c r="A16" s="35">
        <v>558979</v>
      </c>
      <c r="B16" s="35" t="s">
        <v>150</v>
      </c>
      <c r="C16" s="35" t="s">
        <v>1529</v>
      </c>
      <c r="D16" s="35" t="s">
        <v>1646</v>
      </c>
      <c r="E16" s="35">
        <v>125</v>
      </c>
      <c r="F16" s="34">
        <v>43483</v>
      </c>
    </row>
    <row r="17" spans="1:6" ht="15.75" x14ac:dyDescent="0.25">
      <c r="A17" s="35">
        <v>558979</v>
      </c>
      <c r="B17" s="35" t="s">
        <v>150</v>
      </c>
      <c r="C17" s="35" t="s">
        <v>1540</v>
      </c>
      <c r="D17" s="35" t="s">
        <v>1647</v>
      </c>
      <c r="E17" s="35">
        <v>125</v>
      </c>
      <c r="F17" s="34">
        <v>43483</v>
      </c>
    </row>
    <row r="18" spans="1:6" ht="15.75" x14ac:dyDescent="0.25">
      <c r="A18" s="35">
        <v>558979</v>
      </c>
      <c r="B18" s="35" t="s">
        <v>150</v>
      </c>
      <c r="C18" s="35" t="s">
        <v>1517</v>
      </c>
      <c r="D18" s="35" t="s">
        <v>1648</v>
      </c>
      <c r="E18" s="35">
        <v>125</v>
      </c>
      <c r="F18" s="34">
        <v>43483</v>
      </c>
    </row>
    <row r="19" spans="1:6" ht="15.75" x14ac:dyDescent="0.25">
      <c r="A19" s="35">
        <v>558979</v>
      </c>
      <c r="B19" s="35" t="s">
        <v>150</v>
      </c>
      <c r="C19" s="35" t="s">
        <v>1527</v>
      </c>
      <c r="D19" s="35" t="s">
        <v>1649</v>
      </c>
      <c r="E19" s="35">
        <v>125</v>
      </c>
      <c r="F19" s="34">
        <v>43483</v>
      </c>
    </row>
    <row r="20" spans="1:6" ht="15.75" x14ac:dyDescent="0.25">
      <c r="A20" s="35">
        <v>558979</v>
      </c>
      <c r="B20" s="35" t="s">
        <v>150</v>
      </c>
      <c r="C20" s="35" t="s">
        <v>1523</v>
      </c>
      <c r="D20" s="35" t="s">
        <v>1650</v>
      </c>
      <c r="E20" s="35">
        <v>125</v>
      </c>
      <c r="F20" s="34">
        <v>43483</v>
      </c>
    </row>
    <row r="21" spans="1:6" ht="15.75" x14ac:dyDescent="0.25">
      <c r="A21" s="35">
        <v>558979</v>
      </c>
      <c r="B21" s="35" t="s">
        <v>150</v>
      </c>
      <c r="C21" s="35" t="s">
        <v>1531</v>
      </c>
      <c r="D21" s="35" t="s">
        <v>1651</v>
      </c>
      <c r="E21" s="35">
        <v>125</v>
      </c>
      <c r="F21" s="34">
        <v>43483</v>
      </c>
    </row>
    <row r="22" spans="1:6" ht="15.75" x14ac:dyDescent="0.25">
      <c r="A22" s="35">
        <v>558979</v>
      </c>
      <c r="B22" s="35" t="s">
        <v>150</v>
      </c>
      <c r="C22" s="35" t="s">
        <v>1216</v>
      </c>
      <c r="D22" s="35" t="s">
        <v>1652</v>
      </c>
      <c r="E22" s="35">
        <v>125</v>
      </c>
      <c r="F22" s="34">
        <v>43483</v>
      </c>
    </row>
    <row r="23" spans="1:6" ht="15.75" x14ac:dyDescent="0.25">
      <c r="A23" s="35">
        <v>558979</v>
      </c>
      <c r="B23" s="35" t="s">
        <v>150</v>
      </c>
      <c r="C23" s="35" t="s">
        <v>1521</v>
      </c>
      <c r="D23" s="35" t="s">
        <v>1653</v>
      </c>
      <c r="E23" s="35">
        <v>125</v>
      </c>
      <c r="F23" s="34">
        <v>43483</v>
      </c>
    </row>
    <row r="24" spans="1:6" ht="15.75" x14ac:dyDescent="0.25">
      <c r="A24" s="35">
        <v>558979</v>
      </c>
      <c r="B24" s="35" t="s">
        <v>150</v>
      </c>
      <c r="C24" s="35" t="s">
        <v>1496</v>
      </c>
      <c r="D24" s="35" t="s">
        <v>1654</v>
      </c>
      <c r="E24" s="35">
        <v>125</v>
      </c>
      <c r="F24" s="34">
        <v>43483</v>
      </c>
    </row>
    <row r="25" spans="1:6" ht="15.75" x14ac:dyDescent="0.25">
      <c r="A25" s="35">
        <v>558979</v>
      </c>
      <c r="B25" s="35" t="s">
        <v>150</v>
      </c>
      <c r="C25" s="35" t="s">
        <v>1519</v>
      </c>
      <c r="D25" s="35" t="s">
        <v>1655</v>
      </c>
      <c r="E25" s="35">
        <v>125</v>
      </c>
      <c r="F25" s="34">
        <v>43483</v>
      </c>
    </row>
    <row r="26" spans="1:6" ht="15.75" x14ac:dyDescent="0.25">
      <c r="A26" s="35">
        <v>558979</v>
      </c>
      <c r="B26" s="35" t="s">
        <v>150</v>
      </c>
      <c r="C26" s="35" t="s">
        <v>21</v>
      </c>
      <c r="D26" s="35" t="s">
        <v>1656</v>
      </c>
      <c r="E26" s="35">
        <v>125</v>
      </c>
      <c r="F26" s="34">
        <v>43483</v>
      </c>
    </row>
    <row r="27" spans="1:6" ht="15.75" x14ac:dyDescent="0.25">
      <c r="A27" s="35">
        <v>558979</v>
      </c>
      <c r="B27" s="35" t="s">
        <v>150</v>
      </c>
      <c r="C27" s="35" t="s">
        <v>1533</v>
      </c>
      <c r="D27" s="35" t="s">
        <v>1657</v>
      </c>
      <c r="E27" s="35">
        <v>125</v>
      </c>
      <c r="F27" s="34">
        <v>43483</v>
      </c>
    </row>
    <row r="28" spans="1:6" ht="15.75" x14ac:dyDescent="0.25">
      <c r="A28" s="35">
        <v>558979</v>
      </c>
      <c r="B28" s="35" t="s">
        <v>150</v>
      </c>
      <c r="C28" s="35" t="s">
        <v>1545</v>
      </c>
      <c r="D28" s="35" t="s">
        <v>1658</v>
      </c>
      <c r="E28" s="35">
        <v>125</v>
      </c>
      <c r="F28" s="34">
        <v>43483</v>
      </c>
    </row>
    <row r="29" spans="1:6" ht="15.75" x14ac:dyDescent="0.25">
      <c r="A29" s="35">
        <v>558979</v>
      </c>
      <c r="B29" s="35" t="s">
        <v>150</v>
      </c>
      <c r="C29" s="35" t="s">
        <v>1542</v>
      </c>
      <c r="D29" s="35" t="s">
        <v>1659</v>
      </c>
      <c r="E29" s="35">
        <v>125</v>
      </c>
      <c r="F29" s="34">
        <v>43483</v>
      </c>
    </row>
    <row r="30" spans="1:6" ht="15.75" x14ac:dyDescent="0.25">
      <c r="A30" s="35">
        <v>558979</v>
      </c>
      <c r="B30" s="35" t="s">
        <v>150</v>
      </c>
      <c r="C30" s="35" t="s">
        <v>1538</v>
      </c>
      <c r="D30" s="35" t="s">
        <v>1660</v>
      </c>
      <c r="E30" s="35">
        <v>125</v>
      </c>
      <c r="F30" s="34">
        <v>43483</v>
      </c>
    </row>
    <row r="31" spans="1:6" ht="15.75" x14ac:dyDescent="0.25">
      <c r="A31" s="35">
        <v>558979</v>
      </c>
      <c r="B31" s="35" t="s">
        <v>150</v>
      </c>
      <c r="C31" s="35" t="s">
        <v>1536</v>
      </c>
      <c r="D31" s="35" t="s">
        <v>1661</v>
      </c>
      <c r="E31" s="35">
        <v>125</v>
      </c>
      <c r="F31" s="34">
        <v>43483</v>
      </c>
    </row>
    <row r="32" spans="1:6" ht="15.75" x14ac:dyDescent="0.25">
      <c r="A32" s="35">
        <v>558979</v>
      </c>
      <c r="B32" s="35" t="s">
        <v>150</v>
      </c>
      <c r="C32" s="35" t="s">
        <v>1525</v>
      </c>
      <c r="D32" s="35" t="s">
        <v>1662</v>
      </c>
      <c r="E32" s="35">
        <v>125</v>
      </c>
      <c r="F32" s="34">
        <v>43483</v>
      </c>
    </row>
    <row r="33" spans="1:6" ht="15.75" x14ac:dyDescent="0.25">
      <c r="A33" s="35">
        <v>558979</v>
      </c>
      <c r="B33" s="35" t="s">
        <v>150</v>
      </c>
      <c r="C33" s="35" t="s">
        <v>785</v>
      </c>
      <c r="D33" s="35" t="s">
        <v>1663</v>
      </c>
      <c r="E33" s="35">
        <v>200</v>
      </c>
      <c r="F33" s="34">
        <v>43483</v>
      </c>
    </row>
    <row r="34" spans="1:6" ht="15.75" x14ac:dyDescent="0.25">
      <c r="A34" s="35">
        <v>558979</v>
      </c>
      <c r="B34" s="35" t="s">
        <v>150</v>
      </c>
      <c r="C34" s="35" t="s">
        <v>927</v>
      </c>
      <c r="D34" s="35" t="s">
        <v>1664</v>
      </c>
      <c r="E34" s="35">
        <v>200</v>
      </c>
      <c r="F34" s="34">
        <v>43483</v>
      </c>
    </row>
    <row r="35" spans="1:6" ht="15.75" x14ac:dyDescent="0.25">
      <c r="A35" s="35">
        <v>558979</v>
      </c>
      <c r="B35" s="35" t="s">
        <v>150</v>
      </c>
      <c r="C35" s="35" t="s">
        <v>1062</v>
      </c>
      <c r="D35" s="35" t="s">
        <v>1665</v>
      </c>
      <c r="E35" s="35">
        <v>200</v>
      </c>
      <c r="F35" s="34">
        <v>43483</v>
      </c>
    </row>
    <row r="36" spans="1:6" ht="15.75" x14ac:dyDescent="0.25">
      <c r="A36" s="35">
        <v>558979</v>
      </c>
      <c r="B36" s="35" t="s">
        <v>150</v>
      </c>
      <c r="C36" s="35" t="s">
        <v>1001</v>
      </c>
      <c r="D36" s="35" t="s">
        <v>1666</v>
      </c>
      <c r="E36" s="35">
        <v>200</v>
      </c>
      <c r="F36" s="34">
        <v>43483</v>
      </c>
    </row>
    <row r="37" spans="1:6" ht="15.75" x14ac:dyDescent="0.25">
      <c r="A37" s="35">
        <v>558979</v>
      </c>
      <c r="B37" s="35" t="s">
        <v>150</v>
      </c>
      <c r="C37" s="35" t="s">
        <v>1415</v>
      </c>
      <c r="D37" s="35" t="s">
        <v>1667</v>
      </c>
      <c r="E37" s="35">
        <v>200</v>
      </c>
      <c r="F37" s="34">
        <v>43483</v>
      </c>
    </row>
    <row r="38" spans="1:6" ht="15.75" x14ac:dyDescent="0.25">
      <c r="A38" s="35">
        <v>558979</v>
      </c>
      <c r="B38" s="35" t="s">
        <v>150</v>
      </c>
      <c r="C38" s="35" t="s">
        <v>1410</v>
      </c>
      <c r="D38" s="35" t="s">
        <v>1668</v>
      </c>
      <c r="E38" s="35">
        <v>200</v>
      </c>
      <c r="F38" s="34">
        <v>43483</v>
      </c>
    </row>
    <row r="39" spans="1:6" ht="15.75" x14ac:dyDescent="0.25">
      <c r="A39" s="35">
        <v>558979</v>
      </c>
      <c r="B39" s="35" t="s">
        <v>150</v>
      </c>
      <c r="C39" s="35" t="s">
        <v>1029</v>
      </c>
      <c r="D39" s="35" t="s">
        <v>1669</v>
      </c>
      <c r="E39" s="35">
        <v>225</v>
      </c>
      <c r="F39" s="34">
        <v>43483</v>
      </c>
    </row>
    <row r="40" spans="1:6" ht="15.75" x14ac:dyDescent="0.25">
      <c r="A40" s="35">
        <v>558979</v>
      </c>
      <c r="B40" s="35" t="s">
        <v>150</v>
      </c>
      <c r="C40" s="35" t="s">
        <v>789</v>
      </c>
      <c r="D40" s="35" t="s">
        <v>1670</v>
      </c>
      <c r="E40" s="35">
        <v>333.34</v>
      </c>
      <c r="F40" s="34">
        <v>43483</v>
      </c>
    </row>
    <row r="41" spans="1:6" ht="15.75" x14ac:dyDescent="0.25">
      <c r="A41" s="35">
        <v>558979</v>
      </c>
      <c r="B41" s="35" t="s">
        <v>150</v>
      </c>
      <c r="C41" s="35" t="s">
        <v>309</v>
      </c>
      <c r="D41" s="35" t="s">
        <v>1671</v>
      </c>
      <c r="E41" s="35">
        <v>541.66999999999996</v>
      </c>
      <c r="F41" s="34">
        <v>43483</v>
      </c>
    </row>
    <row r="42" spans="1:6" ht="15.75" x14ac:dyDescent="0.25">
      <c r="A42" s="35">
        <v>511120</v>
      </c>
      <c r="B42" s="35" t="s">
        <v>6</v>
      </c>
      <c r="C42" s="35" t="s">
        <v>165</v>
      </c>
      <c r="D42" s="35" t="s">
        <v>1672</v>
      </c>
      <c r="E42" s="35">
        <v>-6916.64</v>
      </c>
      <c r="F42" s="34">
        <v>43488</v>
      </c>
    </row>
    <row r="43" spans="1:6" ht="15.75" x14ac:dyDescent="0.25">
      <c r="A43" s="35">
        <v>511120</v>
      </c>
      <c r="B43" s="35" t="s">
        <v>6</v>
      </c>
      <c r="C43" s="35" t="s">
        <v>165</v>
      </c>
      <c r="D43" s="35" t="s">
        <v>1673</v>
      </c>
      <c r="E43" s="35">
        <v>-6916.64</v>
      </c>
      <c r="F43" s="34">
        <v>43488</v>
      </c>
    </row>
    <row r="44" spans="1:6" ht="15.75" x14ac:dyDescent="0.25">
      <c r="A44" s="35">
        <v>511120</v>
      </c>
      <c r="B44" s="35" t="s">
        <v>6</v>
      </c>
      <c r="C44" s="35" t="s">
        <v>165</v>
      </c>
      <c r="D44" s="35" t="s">
        <v>1674</v>
      </c>
      <c r="E44" s="35">
        <v>-6916.64</v>
      </c>
      <c r="F44" s="34">
        <v>43488</v>
      </c>
    </row>
    <row r="45" spans="1:6" ht="15.75" x14ac:dyDescent="0.25">
      <c r="A45" s="35">
        <v>511120</v>
      </c>
      <c r="B45" s="35" t="s">
        <v>6</v>
      </c>
      <c r="C45" s="35" t="s">
        <v>165</v>
      </c>
      <c r="D45" s="35" t="s">
        <v>1675</v>
      </c>
      <c r="E45" s="35">
        <v>-6916.64</v>
      </c>
      <c r="F45" s="34">
        <v>43488</v>
      </c>
    </row>
    <row r="46" spans="1:6" ht="15.75" x14ac:dyDescent="0.25">
      <c r="A46" s="35">
        <v>511120</v>
      </c>
      <c r="B46" s="35" t="s">
        <v>6</v>
      </c>
      <c r="C46" s="35" t="s">
        <v>165</v>
      </c>
      <c r="D46" s="35" t="s">
        <v>1676</v>
      </c>
      <c r="E46" s="35">
        <v>-6916.64</v>
      </c>
      <c r="F46" s="34">
        <v>43488</v>
      </c>
    </row>
    <row r="47" spans="1:6" ht="15.75" x14ac:dyDescent="0.25">
      <c r="A47" s="35">
        <v>511120</v>
      </c>
      <c r="B47" s="35" t="s">
        <v>6</v>
      </c>
      <c r="C47" s="35" t="s">
        <v>7</v>
      </c>
      <c r="D47" s="35" t="s">
        <v>1677</v>
      </c>
      <c r="E47" s="35">
        <v>-6577.08</v>
      </c>
      <c r="F47" s="34">
        <v>43488</v>
      </c>
    </row>
    <row r="48" spans="1:6" ht="15.75" x14ac:dyDescent="0.25">
      <c r="A48" s="35">
        <v>511120</v>
      </c>
      <c r="B48" s="35" t="s">
        <v>6</v>
      </c>
      <c r="C48" s="35" t="s">
        <v>7</v>
      </c>
      <c r="D48" s="35" t="s">
        <v>1678</v>
      </c>
      <c r="E48" s="35">
        <v>-6577.08</v>
      </c>
      <c r="F48" s="34">
        <v>43488</v>
      </c>
    </row>
    <row r="49" spans="1:6" ht="15.75" x14ac:dyDescent="0.25">
      <c r="A49" s="35">
        <v>511120</v>
      </c>
      <c r="B49" s="35" t="s">
        <v>6</v>
      </c>
      <c r="C49" s="35" t="s">
        <v>7</v>
      </c>
      <c r="D49" s="35" t="s">
        <v>1679</v>
      </c>
      <c r="E49" s="35">
        <v>-6416.67</v>
      </c>
      <c r="F49" s="34">
        <v>43488</v>
      </c>
    </row>
    <row r="50" spans="1:6" ht="15.75" x14ac:dyDescent="0.25">
      <c r="A50" s="35">
        <v>511120</v>
      </c>
      <c r="B50" s="35" t="s">
        <v>6</v>
      </c>
      <c r="C50" s="35" t="s">
        <v>7</v>
      </c>
      <c r="D50" s="35" t="s">
        <v>1680</v>
      </c>
      <c r="E50" s="35">
        <v>-6416.67</v>
      </c>
      <c r="F50" s="34">
        <v>43488</v>
      </c>
    </row>
    <row r="51" spans="1:6" ht="15.75" x14ac:dyDescent="0.25">
      <c r="A51" s="35">
        <v>511120</v>
      </c>
      <c r="B51" s="35" t="s">
        <v>6</v>
      </c>
      <c r="C51" s="35" t="s">
        <v>7</v>
      </c>
      <c r="D51" s="35" t="s">
        <v>1681</v>
      </c>
      <c r="E51" s="35">
        <v>-6416.67</v>
      </c>
      <c r="F51" s="34">
        <v>43488</v>
      </c>
    </row>
    <row r="52" spans="1:6" ht="15.75" x14ac:dyDescent="0.25">
      <c r="A52" s="35">
        <v>511120</v>
      </c>
      <c r="B52" s="35" t="s">
        <v>6</v>
      </c>
      <c r="C52" s="35" t="s">
        <v>7</v>
      </c>
      <c r="D52" s="35" t="s">
        <v>1682</v>
      </c>
      <c r="E52" s="35">
        <v>-6416.67</v>
      </c>
      <c r="F52" s="34">
        <v>43488</v>
      </c>
    </row>
    <row r="53" spans="1:6" ht="15.75" x14ac:dyDescent="0.25">
      <c r="A53" s="35">
        <v>511120</v>
      </c>
      <c r="B53" s="35" t="s">
        <v>6</v>
      </c>
      <c r="C53" s="35" t="s">
        <v>7</v>
      </c>
      <c r="D53" s="35" t="s">
        <v>1683</v>
      </c>
      <c r="E53" s="35">
        <v>-6416.67</v>
      </c>
      <c r="F53" s="34">
        <v>43488</v>
      </c>
    </row>
    <row r="54" spans="1:6" ht="15.75" x14ac:dyDescent="0.25">
      <c r="A54" s="35">
        <v>511120</v>
      </c>
      <c r="B54" s="35" t="s">
        <v>6</v>
      </c>
      <c r="C54" s="35" t="s">
        <v>7</v>
      </c>
      <c r="D54" s="35" t="s">
        <v>1684</v>
      </c>
      <c r="E54" s="35">
        <v>-5174.7299999999996</v>
      </c>
      <c r="F54" s="34">
        <v>43488</v>
      </c>
    </row>
    <row r="55" spans="1:6" ht="15.75" x14ac:dyDescent="0.25">
      <c r="A55" s="35">
        <v>511120</v>
      </c>
      <c r="B55" s="35" t="s">
        <v>6</v>
      </c>
      <c r="C55" s="35" t="s">
        <v>7</v>
      </c>
      <c r="D55" s="35" t="s">
        <v>1677</v>
      </c>
      <c r="E55" s="35">
        <v>-641.64</v>
      </c>
      <c r="F55" s="34">
        <v>43488</v>
      </c>
    </row>
    <row r="56" spans="1:6" ht="15.75" x14ac:dyDescent="0.25">
      <c r="A56" s="35">
        <v>515530</v>
      </c>
      <c r="B56" s="35" t="s">
        <v>13</v>
      </c>
      <c r="C56" s="35" t="s">
        <v>7</v>
      </c>
      <c r="D56" s="35" t="s">
        <v>1678</v>
      </c>
      <c r="E56" s="35">
        <v>-518.64</v>
      </c>
      <c r="F56" s="34">
        <v>43488</v>
      </c>
    </row>
    <row r="57" spans="1:6" ht="15.75" x14ac:dyDescent="0.25">
      <c r="A57" s="35">
        <v>515120</v>
      </c>
      <c r="B57" s="35" t="s">
        <v>9</v>
      </c>
      <c r="C57" s="35" t="s">
        <v>7</v>
      </c>
      <c r="D57" s="35" t="s">
        <v>1681</v>
      </c>
      <c r="E57" s="35">
        <v>-515.09</v>
      </c>
      <c r="F57" s="34">
        <v>43488</v>
      </c>
    </row>
    <row r="58" spans="1:6" ht="15.75" x14ac:dyDescent="0.25">
      <c r="A58" s="35">
        <v>515530</v>
      </c>
      <c r="B58" s="35" t="s">
        <v>13</v>
      </c>
      <c r="C58" s="35" t="s">
        <v>7</v>
      </c>
      <c r="D58" s="35" t="s">
        <v>1680</v>
      </c>
      <c r="E58" s="35">
        <v>-498.68</v>
      </c>
      <c r="F58" s="34">
        <v>43488</v>
      </c>
    </row>
    <row r="59" spans="1:6" ht="15.75" x14ac:dyDescent="0.25">
      <c r="A59" s="35">
        <v>515530</v>
      </c>
      <c r="B59" s="35" t="s">
        <v>13</v>
      </c>
      <c r="C59" s="35" t="s">
        <v>7</v>
      </c>
      <c r="D59" s="35" t="s">
        <v>1677</v>
      </c>
      <c r="E59" s="35">
        <v>-498.68</v>
      </c>
      <c r="F59" s="34">
        <v>43488</v>
      </c>
    </row>
    <row r="60" spans="1:6" ht="15.75" x14ac:dyDescent="0.25">
      <c r="A60" s="35">
        <v>515530</v>
      </c>
      <c r="B60" s="35" t="s">
        <v>13</v>
      </c>
      <c r="C60" s="35" t="s">
        <v>7</v>
      </c>
      <c r="D60" s="35" t="s">
        <v>1681</v>
      </c>
      <c r="E60" s="35">
        <v>-498.68</v>
      </c>
      <c r="F60" s="34">
        <v>43488</v>
      </c>
    </row>
    <row r="61" spans="1:6" ht="15.75" x14ac:dyDescent="0.25">
      <c r="A61" s="35">
        <v>515530</v>
      </c>
      <c r="B61" s="35" t="s">
        <v>13</v>
      </c>
      <c r="C61" s="35" t="s">
        <v>7</v>
      </c>
      <c r="D61" s="35" t="s">
        <v>1683</v>
      </c>
      <c r="E61" s="35">
        <v>-498.68</v>
      </c>
      <c r="F61" s="34">
        <v>43488</v>
      </c>
    </row>
    <row r="62" spans="1:6" ht="15.75" x14ac:dyDescent="0.25">
      <c r="A62" s="35">
        <v>515530</v>
      </c>
      <c r="B62" s="35" t="s">
        <v>13</v>
      </c>
      <c r="C62" s="35" t="s">
        <v>7</v>
      </c>
      <c r="D62" s="35" t="s">
        <v>1684</v>
      </c>
      <c r="E62" s="35">
        <v>-498.68</v>
      </c>
      <c r="F62" s="34">
        <v>43488</v>
      </c>
    </row>
    <row r="63" spans="1:6" ht="15.75" x14ac:dyDescent="0.25">
      <c r="A63" s="35">
        <v>515530</v>
      </c>
      <c r="B63" s="35" t="s">
        <v>13</v>
      </c>
      <c r="C63" s="35" t="s">
        <v>7</v>
      </c>
      <c r="D63" s="35" t="s">
        <v>1682</v>
      </c>
      <c r="E63" s="35">
        <v>-498.68</v>
      </c>
      <c r="F63" s="34">
        <v>43488</v>
      </c>
    </row>
    <row r="64" spans="1:6" ht="15.75" x14ac:dyDescent="0.25">
      <c r="A64" s="35">
        <v>515530</v>
      </c>
      <c r="B64" s="35" t="s">
        <v>13</v>
      </c>
      <c r="C64" s="35" t="s">
        <v>7</v>
      </c>
      <c r="D64" s="35" t="s">
        <v>1679</v>
      </c>
      <c r="E64" s="35">
        <v>-498.68</v>
      </c>
      <c r="F64" s="34">
        <v>43488</v>
      </c>
    </row>
    <row r="65" spans="1:6" ht="15.75" x14ac:dyDescent="0.25">
      <c r="A65" s="35">
        <v>515410</v>
      </c>
      <c r="B65" s="35" t="s">
        <v>11</v>
      </c>
      <c r="C65" s="35" t="s">
        <v>7</v>
      </c>
      <c r="D65" s="35" t="s">
        <v>1677</v>
      </c>
      <c r="E65" s="35">
        <v>-493.76</v>
      </c>
      <c r="F65" s="34">
        <v>43488</v>
      </c>
    </row>
    <row r="66" spans="1:6" ht="15.75" x14ac:dyDescent="0.25">
      <c r="A66" s="35">
        <v>515410</v>
      </c>
      <c r="B66" s="35" t="s">
        <v>11</v>
      </c>
      <c r="C66" s="35" t="s">
        <v>165</v>
      </c>
      <c r="D66" s="35" t="s">
        <v>1673</v>
      </c>
      <c r="E66" s="35">
        <v>-473.1</v>
      </c>
      <c r="F66" s="34">
        <v>43488</v>
      </c>
    </row>
    <row r="67" spans="1:6" ht="15.75" x14ac:dyDescent="0.25">
      <c r="A67" s="35">
        <v>515410</v>
      </c>
      <c r="B67" s="35" t="s">
        <v>11</v>
      </c>
      <c r="C67" s="35" t="s">
        <v>165</v>
      </c>
      <c r="D67" s="35" t="s">
        <v>1674</v>
      </c>
      <c r="E67" s="35">
        <v>-473.1</v>
      </c>
      <c r="F67" s="34">
        <v>43488</v>
      </c>
    </row>
    <row r="68" spans="1:6" ht="15.75" x14ac:dyDescent="0.25">
      <c r="A68" s="35">
        <v>515410</v>
      </c>
      <c r="B68" s="35" t="s">
        <v>11</v>
      </c>
      <c r="C68" s="35" t="s">
        <v>165</v>
      </c>
      <c r="D68" s="35" t="s">
        <v>1676</v>
      </c>
      <c r="E68" s="35">
        <v>-473.1</v>
      </c>
      <c r="F68" s="34">
        <v>43488</v>
      </c>
    </row>
    <row r="69" spans="1:6" ht="15.75" x14ac:dyDescent="0.25">
      <c r="A69" s="35">
        <v>515410</v>
      </c>
      <c r="B69" s="35" t="s">
        <v>11</v>
      </c>
      <c r="C69" s="35" t="s">
        <v>165</v>
      </c>
      <c r="D69" s="35" t="s">
        <v>1672</v>
      </c>
      <c r="E69" s="35">
        <v>-473.1</v>
      </c>
      <c r="F69" s="34">
        <v>43488</v>
      </c>
    </row>
    <row r="70" spans="1:6" ht="15.75" x14ac:dyDescent="0.25">
      <c r="A70" s="35">
        <v>515410</v>
      </c>
      <c r="B70" s="35" t="s">
        <v>11</v>
      </c>
      <c r="C70" s="35" t="s">
        <v>165</v>
      </c>
      <c r="D70" s="35" t="s">
        <v>1675</v>
      </c>
      <c r="E70" s="35">
        <v>-473.1</v>
      </c>
      <c r="F70" s="34">
        <v>43488</v>
      </c>
    </row>
    <row r="71" spans="1:6" ht="15.75" x14ac:dyDescent="0.25">
      <c r="A71" s="35">
        <v>515420</v>
      </c>
      <c r="B71" s="35" t="s">
        <v>12</v>
      </c>
      <c r="C71" s="35" t="s">
        <v>7</v>
      </c>
      <c r="D71" s="35" t="s">
        <v>1677</v>
      </c>
      <c r="E71" s="35">
        <v>-462.72</v>
      </c>
      <c r="F71" s="34">
        <v>43488</v>
      </c>
    </row>
    <row r="72" spans="1:6" ht="15.75" x14ac:dyDescent="0.25">
      <c r="A72" s="35">
        <v>515410</v>
      </c>
      <c r="B72" s="35" t="s">
        <v>11</v>
      </c>
      <c r="C72" s="35" t="s">
        <v>7</v>
      </c>
      <c r="D72" s="35" t="s">
        <v>1678</v>
      </c>
      <c r="E72" s="35">
        <v>-449.87</v>
      </c>
      <c r="F72" s="34">
        <v>43488</v>
      </c>
    </row>
    <row r="73" spans="1:6" ht="15.75" x14ac:dyDescent="0.25">
      <c r="A73" s="35">
        <v>515120</v>
      </c>
      <c r="B73" s="35" t="s">
        <v>9</v>
      </c>
      <c r="C73" s="35" t="s">
        <v>7</v>
      </c>
      <c r="D73" s="35" t="s">
        <v>1677</v>
      </c>
      <c r="E73" s="35">
        <v>-440.81</v>
      </c>
      <c r="F73" s="34">
        <v>43488</v>
      </c>
    </row>
    <row r="74" spans="1:6" ht="15.75" x14ac:dyDescent="0.25">
      <c r="A74" s="35">
        <v>515410</v>
      </c>
      <c r="B74" s="35" t="s">
        <v>11</v>
      </c>
      <c r="C74" s="35" t="s">
        <v>7</v>
      </c>
      <c r="D74" s="35" t="s">
        <v>1679</v>
      </c>
      <c r="E74" s="35">
        <v>-438.9</v>
      </c>
      <c r="F74" s="34">
        <v>43488</v>
      </c>
    </row>
    <row r="75" spans="1:6" ht="15.75" x14ac:dyDescent="0.25">
      <c r="A75" s="35">
        <v>515410</v>
      </c>
      <c r="B75" s="35" t="s">
        <v>11</v>
      </c>
      <c r="C75" s="35" t="s">
        <v>7</v>
      </c>
      <c r="D75" s="35" t="s">
        <v>1680</v>
      </c>
      <c r="E75" s="35">
        <v>-438.9</v>
      </c>
      <c r="F75" s="34">
        <v>43488</v>
      </c>
    </row>
    <row r="76" spans="1:6" ht="15.75" x14ac:dyDescent="0.25">
      <c r="A76" s="35">
        <v>515410</v>
      </c>
      <c r="B76" s="35" t="s">
        <v>11</v>
      </c>
      <c r="C76" s="35" t="s">
        <v>7</v>
      </c>
      <c r="D76" s="35" t="s">
        <v>1681</v>
      </c>
      <c r="E76" s="35">
        <v>-438.9</v>
      </c>
      <c r="F76" s="34">
        <v>43488</v>
      </c>
    </row>
    <row r="77" spans="1:6" ht="15.75" x14ac:dyDescent="0.25">
      <c r="A77" s="35">
        <v>515410</v>
      </c>
      <c r="B77" s="35" t="s">
        <v>11</v>
      </c>
      <c r="C77" s="35" t="s">
        <v>7</v>
      </c>
      <c r="D77" s="35" t="s">
        <v>1683</v>
      </c>
      <c r="E77" s="35">
        <v>-438.9</v>
      </c>
      <c r="F77" s="34">
        <v>43488</v>
      </c>
    </row>
    <row r="78" spans="1:6" ht="15.75" x14ac:dyDescent="0.25">
      <c r="A78" s="35">
        <v>515410</v>
      </c>
      <c r="B78" s="35" t="s">
        <v>11</v>
      </c>
      <c r="C78" s="35" t="s">
        <v>7</v>
      </c>
      <c r="D78" s="35" t="s">
        <v>1682</v>
      </c>
      <c r="E78" s="35">
        <v>-438.9</v>
      </c>
      <c r="F78" s="34">
        <v>43488</v>
      </c>
    </row>
    <row r="79" spans="1:6" ht="15.75" x14ac:dyDescent="0.25">
      <c r="A79" s="35">
        <v>515420</v>
      </c>
      <c r="B79" s="35" t="s">
        <v>12</v>
      </c>
      <c r="C79" s="35" t="s">
        <v>165</v>
      </c>
      <c r="D79" s="35" t="s">
        <v>1676</v>
      </c>
      <c r="E79" s="35">
        <v>-428.14</v>
      </c>
      <c r="F79" s="34">
        <v>43488</v>
      </c>
    </row>
    <row r="80" spans="1:6" ht="15.75" x14ac:dyDescent="0.25">
      <c r="A80" s="35">
        <v>515420</v>
      </c>
      <c r="B80" s="35" t="s">
        <v>12</v>
      </c>
      <c r="C80" s="35" t="s">
        <v>165</v>
      </c>
      <c r="D80" s="35" t="s">
        <v>1674</v>
      </c>
      <c r="E80" s="35">
        <v>-428.14</v>
      </c>
      <c r="F80" s="34">
        <v>43488</v>
      </c>
    </row>
    <row r="81" spans="1:6" ht="15.75" x14ac:dyDescent="0.25">
      <c r="A81" s="35">
        <v>515420</v>
      </c>
      <c r="B81" s="35" t="s">
        <v>12</v>
      </c>
      <c r="C81" s="35" t="s">
        <v>165</v>
      </c>
      <c r="D81" s="35" t="s">
        <v>1675</v>
      </c>
      <c r="E81" s="35">
        <v>-428.14</v>
      </c>
      <c r="F81" s="34">
        <v>43488</v>
      </c>
    </row>
    <row r="82" spans="1:6" ht="15.75" x14ac:dyDescent="0.25">
      <c r="A82" s="35">
        <v>515420</v>
      </c>
      <c r="B82" s="35" t="s">
        <v>12</v>
      </c>
      <c r="C82" s="35" t="s">
        <v>165</v>
      </c>
      <c r="D82" s="35" t="s">
        <v>1672</v>
      </c>
      <c r="E82" s="35">
        <v>-428.14</v>
      </c>
      <c r="F82" s="34">
        <v>43488</v>
      </c>
    </row>
    <row r="83" spans="1:6" ht="15.75" x14ac:dyDescent="0.25">
      <c r="A83" s="35">
        <v>515420</v>
      </c>
      <c r="B83" s="35" t="s">
        <v>12</v>
      </c>
      <c r="C83" s="35" t="s">
        <v>165</v>
      </c>
      <c r="D83" s="35" t="s">
        <v>1673</v>
      </c>
      <c r="E83" s="35">
        <v>-428.14</v>
      </c>
      <c r="F83" s="34">
        <v>43488</v>
      </c>
    </row>
    <row r="84" spans="1:6" ht="15.75" x14ac:dyDescent="0.25">
      <c r="A84" s="35">
        <v>515420</v>
      </c>
      <c r="B84" s="35" t="s">
        <v>12</v>
      </c>
      <c r="C84" s="35" t="s">
        <v>7</v>
      </c>
      <c r="D84" s="35" t="s">
        <v>1678</v>
      </c>
      <c r="E84" s="35">
        <v>-421.59</v>
      </c>
      <c r="F84" s="34">
        <v>43488</v>
      </c>
    </row>
    <row r="85" spans="1:6" ht="15.75" x14ac:dyDescent="0.25">
      <c r="A85" s="35">
        <v>515120</v>
      </c>
      <c r="B85" s="35" t="s">
        <v>9</v>
      </c>
      <c r="C85" s="35" t="s">
        <v>165</v>
      </c>
      <c r="D85" s="35" t="s">
        <v>1672</v>
      </c>
      <c r="E85" s="35">
        <v>-415.83</v>
      </c>
      <c r="F85" s="34">
        <v>43488</v>
      </c>
    </row>
    <row r="86" spans="1:6" ht="15.75" x14ac:dyDescent="0.25">
      <c r="A86" s="35">
        <v>515120</v>
      </c>
      <c r="B86" s="35" t="s">
        <v>9</v>
      </c>
      <c r="C86" s="35" t="s">
        <v>165</v>
      </c>
      <c r="D86" s="35" t="s">
        <v>1674</v>
      </c>
      <c r="E86" s="35">
        <v>-415.83</v>
      </c>
      <c r="F86" s="34">
        <v>43488</v>
      </c>
    </row>
    <row r="87" spans="1:6" ht="15.75" x14ac:dyDescent="0.25">
      <c r="A87" s="35">
        <v>515120</v>
      </c>
      <c r="B87" s="35" t="s">
        <v>9</v>
      </c>
      <c r="C87" s="35" t="s">
        <v>165</v>
      </c>
      <c r="D87" s="35" t="s">
        <v>1673</v>
      </c>
      <c r="E87" s="35">
        <v>-415.82</v>
      </c>
      <c r="F87" s="34">
        <v>43488</v>
      </c>
    </row>
    <row r="88" spans="1:6" ht="15.75" x14ac:dyDescent="0.25">
      <c r="A88" s="35">
        <v>515120</v>
      </c>
      <c r="B88" s="35" t="s">
        <v>9</v>
      </c>
      <c r="C88" s="35" t="s">
        <v>165</v>
      </c>
      <c r="D88" s="35" t="s">
        <v>1675</v>
      </c>
      <c r="E88" s="35">
        <v>-415.82</v>
      </c>
      <c r="F88" s="34">
        <v>43488</v>
      </c>
    </row>
    <row r="89" spans="1:6" ht="15.75" x14ac:dyDescent="0.25">
      <c r="A89" s="35">
        <v>515120</v>
      </c>
      <c r="B89" s="35" t="s">
        <v>9</v>
      </c>
      <c r="C89" s="35" t="s">
        <v>165</v>
      </c>
      <c r="D89" s="35" t="s">
        <v>1676</v>
      </c>
      <c r="E89" s="35">
        <v>-415.82</v>
      </c>
      <c r="F89" s="34">
        <v>43488</v>
      </c>
    </row>
    <row r="90" spans="1:6" ht="15.75" x14ac:dyDescent="0.25">
      <c r="A90" s="35">
        <v>515420</v>
      </c>
      <c r="B90" s="35" t="s">
        <v>12</v>
      </c>
      <c r="C90" s="35" t="s">
        <v>7</v>
      </c>
      <c r="D90" s="35" t="s">
        <v>1682</v>
      </c>
      <c r="E90" s="35">
        <v>-411.31</v>
      </c>
      <c r="F90" s="34">
        <v>43488</v>
      </c>
    </row>
    <row r="91" spans="1:6" ht="15.75" x14ac:dyDescent="0.25">
      <c r="A91" s="35">
        <v>515420</v>
      </c>
      <c r="B91" s="35" t="s">
        <v>12</v>
      </c>
      <c r="C91" s="35" t="s">
        <v>7</v>
      </c>
      <c r="D91" s="35" t="s">
        <v>1683</v>
      </c>
      <c r="E91" s="35">
        <v>-411.31</v>
      </c>
      <c r="F91" s="34">
        <v>43488</v>
      </c>
    </row>
    <row r="92" spans="1:6" ht="15.75" x14ac:dyDescent="0.25">
      <c r="A92" s="35">
        <v>515420</v>
      </c>
      <c r="B92" s="35" t="s">
        <v>12</v>
      </c>
      <c r="C92" s="35" t="s">
        <v>7</v>
      </c>
      <c r="D92" s="35" t="s">
        <v>1680</v>
      </c>
      <c r="E92" s="35">
        <v>-411.31</v>
      </c>
      <c r="F92" s="34">
        <v>43488</v>
      </c>
    </row>
    <row r="93" spans="1:6" ht="15.75" x14ac:dyDescent="0.25">
      <c r="A93" s="35">
        <v>515420</v>
      </c>
      <c r="B93" s="35" t="s">
        <v>12</v>
      </c>
      <c r="C93" s="35" t="s">
        <v>7</v>
      </c>
      <c r="D93" s="35" t="s">
        <v>1681</v>
      </c>
      <c r="E93" s="35">
        <v>-411.31</v>
      </c>
      <c r="F93" s="34">
        <v>43488</v>
      </c>
    </row>
    <row r="94" spans="1:6" ht="15.75" x14ac:dyDescent="0.25">
      <c r="A94" s="35">
        <v>515120</v>
      </c>
      <c r="B94" s="35" t="s">
        <v>9</v>
      </c>
      <c r="C94" s="35" t="s">
        <v>7</v>
      </c>
      <c r="D94" s="35" t="s">
        <v>1678</v>
      </c>
      <c r="E94" s="35">
        <v>-401.03</v>
      </c>
      <c r="F94" s="34">
        <v>43488</v>
      </c>
    </row>
    <row r="95" spans="1:6" ht="15.75" x14ac:dyDescent="0.25">
      <c r="A95" s="35">
        <v>515530</v>
      </c>
      <c r="B95" s="35" t="s">
        <v>13</v>
      </c>
      <c r="C95" s="35" t="s">
        <v>165</v>
      </c>
      <c r="D95" s="35" t="s">
        <v>1674</v>
      </c>
      <c r="E95" s="35">
        <v>-399.57</v>
      </c>
      <c r="F95" s="34">
        <v>43488</v>
      </c>
    </row>
    <row r="96" spans="1:6" ht="15.75" x14ac:dyDescent="0.25">
      <c r="A96" s="35">
        <v>515530</v>
      </c>
      <c r="B96" s="35" t="s">
        <v>13</v>
      </c>
      <c r="C96" s="35" t="s">
        <v>165</v>
      </c>
      <c r="D96" s="35" t="s">
        <v>1672</v>
      </c>
      <c r="E96" s="35">
        <v>-399.57</v>
      </c>
      <c r="F96" s="34">
        <v>43488</v>
      </c>
    </row>
    <row r="97" spans="1:6" ht="15.75" x14ac:dyDescent="0.25">
      <c r="A97" s="35">
        <v>515530</v>
      </c>
      <c r="B97" s="35" t="s">
        <v>13</v>
      </c>
      <c r="C97" s="35" t="s">
        <v>165</v>
      </c>
      <c r="D97" s="35" t="s">
        <v>1675</v>
      </c>
      <c r="E97" s="35">
        <v>-399.57</v>
      </c>
      <c r="F97" s="34">
        <v>43488</v>
      </c>
    </row>
    <row r="98" spans="1:6" ht="15.75" x14ac:dyDescent="0.25">
      <c r="A98" s="35">
        <v>515530</v>
      </c>
      <c r="B98" s="35" t="s">
        <v>13</v>
      </c>
      <c r="C98" s="35" t="s">
        <v>165</v>
      </c>
      <c r="D98" s="35" t="s">
        <v>1673</v>
      </c>
      <c r="E98" s="35">
        <v>-399.57</v>
      </c>
      <c r="F98" s="34">
        <v>43488</v>
      </c>
    </row>
    <row r="99" spans="1:6" ht="15.75" x14ac:dyDescent="0.25">
      <c r="A99" s="35">
        <v>515530</v>
      </c>
      <c r="B99" s="35" t="s">
        <v>13</v>
      </c>
      <c r="C99" s="35" t="s">
        <v>165</v>
      </c>
      <c r="D99" s="35" t="s">
        <v>1676</v>
      </c>
      <c r="E99" s="35">
        <v>-399.57</v>
      </c>
      <c r="F99" s="34">
        <v>43488</v>
      </c>
    </row>
    <row r="100" spans="1:6" ht="15.75" x14ac:dyDescent="0.25">
      <c r="A100" s="35">
        <v>515420</v>
      </c>
      <c r="B100" s="35" t="s">
        <v>12</v>
      </c>
      <c r="C100" s="35" t="s">
        <v>7</v>
      </c>
      <c r="D100" s="35" t="s">
        <v>1679</v>
      </c>
      <c r="E100" s="35">
        <v>-397.19</v>
      </c>
      <c r="F100" s="34">
        <v>43488</v>
      </c>
    </row>
    <row r="101" spans="1:6" ht="15.75" x14ac:dyDescent="0.25">
      <c r="A101" s="35">
        <v>515120</v>
      </c>
      <c r="B101" s="35" t="s">
        <v>9</v>
      </c>
      <c r="C101" s="35" t="s">
        <v>7</v>
      </c>
      <c r="D101" s="35" t="s">
        <v>1680</v>
      </c>
      <c r="E101" s="35">
        <v>-391.09</v>
      </c>
      <c r="F101" s="34">
        <v>43488</v>
      </c>
    </row>
    <row r="102" spans="1:6" ht="15.75" x14ac:dyDescent="0.25">
      <c r="A102" s="35">
        <v>515120</v>
      </c>
      <c r="B102" s="35" t="s">
        <v>9</v>
      </c>
      <c r="C102" s="35" t="s">
        <v>7</v>
      </c>
      <c r="D102" s="35" t="s">
        <v>1679</v>
      </c>
      <c r="E102" s="35">
        <v>-391.09</v>
      </c>
      <c r="F102" s="34">
        <v>43488</v>
      </c>
    </row>
    <row r="103" spans="1:6" ht="15.75" x14ac:dyDescent="0.25">
      <c r="A103" s="35">
        <v>515120</v>
      </c>
      <c r="B103" s="35" t="s">
        <v>9</v>
      </c>
      <c r="C103" s="35" t="s">
        <v>7</v>
      </c>
      <c r="D103" s="35" t="s">
        <v>1682</v>
      </c>
      <c r="E103" s="35">
        <v>-391.08</v>
      </c>
      <c r="F103" s="34">
        <v>43488</v>
      </c>
    </row>
    <row r="104" spans="1:6" ht="15.75" x14ac:dyDescent="0.25">
      <c r="A104" s="35">
        <v>515120</v>
      </c>
      <c r="B104" s="35" t="s">
        <v>9</v>
      </c>
      <c r="C104" s="35" t="s">
        <v>7</v>
      </c>
      <c r="D104" s="35" t="s">
        <v>1683</v>
      </c>
      <c r="E104" s="35">
        <v>-390.98</v>
      </c>
      <c r="F104" s="34">
        <v>43488</v>
      </c>
    </row>
    <row r="105" spans="1:6" ht="15.75" x14ac:dyDescent="0.25">
      <c r="A105" s="35">
        <v>515410</v>
      </c>
      <c r="B105" s="35" t="s">
        <v>11</v>
      </c>
      <c r="C105" s="35" t="s">
        <v>7</v>
      </c>
      <c r="D105" s="35" t="s">
        <v>1684</v>
      </c>
      <c r="E105" s="35">
        <v>-353.95</v>
      </c>
      <c r="F105" s="34">
        <v>43488</v>
      </c>
    </row>
    <row r="106" spans="1:6" ht="15.75" x14ac:dyDescent="0.25">
      <c r="A106" s="35">
        <v>515420</v>
      </c>
      <c r="B106" s="35" t="s">
        <v>12</v>
      </c>
      <c r="C106" s="35" t="s">
        <v>7</v>
      </c>
      <c r="D106" s="35" t="s">
        <v>1684</v>
      </c>
      <c r="E106" s="35">
        <v>-320.32</v>
      </c>
      <c r="F106" s="34">
        <v>43488</v>
      </c>
    </row>
    <row r="107" spans="1:6" ht="15.75" x14ac:dyDescent="0.25">
      <c r="A107" s="35">
        <v>515120</v>
      </c>
      <c r="B107" s="35" t="s">
        <v>9</v>
      </c>
      <c r="C107" s="35" t="s">
        <v>7</v>
      </c>
      <c r="D107" s="35" t="s">
        <v>1684</v>
      </c>
      <c r="E107" s="35">
        <v>-317.73</v>
      </c>
      <c r="F107" s="34">
        <v>43488</v>
      </c>
    </row>
    <row r="108" spans="1:6" ht="15.75" x14ac:dyDescent="0.25">
      <c r="A108" s="35">
        <v>515130</v>
      </c>
      <c r="B108" s="35" t="s">
        <v>10</v>
      </c>
      <c r="C108" s="35" t="s">
        <v>7</v>
      </c>
      <c r="D108" s="35" t="s">
        <v>1681</v>
      </c>
      <c r="E108" s="35">
        <v>-120.46</v>
      </c>
      <c r="F108" s="34">
        <v>43488</v>
      </c>
    </row>
    <row r="109" spans="1:6" ht="15.75" x14ac:dyDescent="0.25">
      <c r="A109" s="35">
        <v>515130</v>
      </c>
      <c r="B109" s="35" t="s">
        <v>10</v>
      </c>
      <c r="C109" s="35" t="s">
        <v>7</v>
      </c>
      <c r="D109" s="35" t="s">
        <v>1677</v>
      </c>
      <c r="E109" s="35">
        <v>-103.09</v>
      </c>
      <c r="F109" s="34">
        <v>43488</v>
      </c>
    </row>
    <row r="110" spans="1:6" ht="15.75" x14ac:dyDescent="0.25">
      <c r="A110" s="35">
        <v>515130</v>
      </c>
      <c r="B110" s="35" t="s">
        <v>10</v>
      </c>
      <c r="C110" s="35" t="s">
        <v>165</v>
      </c>
      <c r="D110" s="35" t="s">
        <v>1674</v>
      </c>
      <c r="E110" s="35">
        <v>-97.26</v>
      </c>
      <c r="F110" s="34">
        <v>43488</v>
      </c>
    </row>
    <row r="111" spans="1:6" ht="15.75" x14ac:dyDescent="0.25">
      <c r="A111" s="35">
        <v>515130</v>
      </c>
      <c r="B111" s="35" t="s">
        <v>10</v>
      </c>
      <c r="C111" s="35" t="s">
        <v>165</v>
      </c>
      <c r="D111" s="35" t="s">
        <v>1672</v>
      </c>
      <c r="E111" s="35">
        <v>-97.25</v>
      </c>
      <c r="F111" s="34">
        <v>43488</v>
      </c>
    </row>
    <row r="112" spans="1:6" ht="15.75" x14ac:dyDescent="0.25">
      <c r="A112" s="35">
        <v>515130</v>
      </c>
      <c r="B112" s="35" t="s">
        <v>10</v>
      </c>
      <c r="C112" s="35" t="s">
        <v>165</v>
      </c>
      <c r="D112" s="35" t="s">
        <v>1673</v>
      </c>
      <c r="E112" s="35">
        <v>-97.25</v>
      </c>
      <c r="F112" s="34">
        <v>43488</v>
      </c>
    </row>
    <row r="113" spans="1:6" ht="15.75" x14ac:dyDescent="0.25">
      <c r="A113" s="35">
        <v>515130</v>
      </c>
      <c r="B113" s="35" t="s">
        <v>10</v>
      </c>
      <c r="C113" s="35" t="s">
        <v>165</v>
      </c>
      <c r="D113" s="35" t="s">
        <v>1675</v>
      </c>
      <c r="E113" s="35">
        <v>-97.25</v>
      </c>
      <c r="F113" s="34">
        <v>43488</v>
      </c>
    </row>
    <row r="114" spans="1:6" ht="15.75" x14ac:dyDescent="0.25">
      <c r="A114" s="35">
        <v>515130</v>
      </c>
      <c r="B114" s="35" t="s">
        <v>10</v>
      </c>
      <c r="C114" s="35" t="s">
        <v>165</v>
      </c>
      <c r="D114" s="35" t="s">
        <v>1676</v>
      </c>
      <c r="E114" s="35">
        <v>-97.25</v>
      </c>
      <c r="F114" s="34">
        <v>43488</v>
      </c>
    </row>
    <row r="115" spans="1:6" ht="15.75" x14ac:dyDescent="0.25">
      <c r="A115" s="35">
        <v>515130</v>
      </c>
      <c r="B115" s="35" t="s">
        <v>10</v>
      </c>
      <c r="C115" s="35" t="s">
        <v>7</v>
      </c>
      <c r="D115" s="35" t="s">
        <v>1678</v>
      </c>
      <c r="E115" s="35">
        <v>-93.79</v>
      </c>
      <c r="F115" s="34">
        <v>43488</v>
      </c>
    </row>
    <row r="116" spans="1:6" ht="15.75" x14ac:dyDescent="0.25">
      <c r="A116" s="35">
        <v>515130</v>
      </c>
      <c r="B116" s="35" t="s">
        <v>10</v>
      </c>
      <c r="C116" s="35" t="s">
        <v>7</v>
      </c>
      <c r="D116" s="35" t="s">
        <v>1680</v>
      </c>
      <c r="E116" s="35">
        <v>-91.47</v>
      </c>
      <c r="F116" s="34">
        <v>43488</v>
      </c>
    </row>
    <row r="117" spans="1:6" ht="15.75" x14ac:dyDescent="0.25">
      <c r="A117" s="35">
        <v>515130</v>
      </c>
      <c r="B117" s="35" t="s">
        <v>10</v>
      </c>
      <c r="C117" s="35" t="s">
        <v>7</v>
      </c>
      <c r="D117" s="35" t="s">
        <v>1679</v>
      </c>
      <c r="E117" s="35">
        <v>-91.46</v>
      </c>
      <c r="F117" s="34">
        <v>43488</v>
      </c>
    </row>
    <row r="118" spans="1:6" ht="15.75" x14ac:dyDescent="0.25">
      <c r="A118" s="35">
        <v>515130</v>
      </c>
      <c r="B118" s="35" t="s">
        <v>10</v>
      </c>
      <c r="C118" s="35" t="s">
        <v>7</v>
      </c>
      <c r="D118" s="35" t="s">
        <v>1682</v>
      </c>
      <c r="E118" s="35">
        <v>-91.46</v>
      </c>
      <c r="F118" s="34">
        <v>43488</v>
      </c>
    </row>
    <row r="119" spans="1:6" ht="15.75" x14ac:dyDescent="0.25">
      <c r="A119" s="35">
        <v>515130</v>
      </c>
      <c r="B119" s="35" t="s">
        <v>10</v>
      </c>
      <c r="C119" s="35" t="s">
        <v>7</v>
      </c>
      <c r="D119" s="35" t="s">
        <v>1683</v>
      </c>
      <c r="E119" s="35">
        <v>-91.44</v>
      </c>
      <c r="F119" s="34">
        <v>43488</v>
      </c>
    </row>
    <row r="120" spans="1:6" ht="15.75" x14ac:dyDescent="0.25">
      <c r="A120" s="35">
        <v>515130</v>
      </c>
      <c r="B120" s="35" t="s">
        <v>10</v>
      </c>
      <c r="C120" s="35" t="s">
        <v>7</v>
      </c>
      <c r="D120" s="35" t="s">
        <v>1684</v>
      </c>
      <c r="E120" s="35">
        <v>-74.31</v>
      </c>
      <c r="F120" s="34">
        <v>43488</v>
      </c>
    </row>
    <row r="121" spans="1:6" ht="15.75" x14ac:dyDescent="0.25">
      <c r="A121" s="35">
        <v>515130</v>
      </c>
      <c r="B121" s="35" t="s">
        <v>10</v>
      </c>
      <c r="C121" s="35" t="s">
        <v>7</v>
      </c>
      <c r="D121" s="35" t="s">
        <v>1684</v>
      </c>
      <c r="E121" s="35">
        <v>51.15</v>
      </c>
      <c r="F121" s="34">
        <v>43488</v>
      </c>
    </row>
    <row r="122" spans="1:6" ht="15.75" x14ac:dyDescent="0.25">
      <c r="A122" s="35">
        <v>515130</v>
      </c>
      <c r="B122" s="35" t="s">
        <v>10</v>
      </c>
      <c r="C122" s="35" t="s">
        <v>165</v>
      </c>
      <c r="D122" s="35" t="s">
        <v>1675</v>
      </c>
      <c r="E122" s="35">
        <v>62.1</v>
      </c>
      <c r="F122" s="34">
        <v>43488</v>
      </c>
    </row>
    <row r="123" spans="1:6" ht="15.75" x14ac:dyDescent="0.25">
      <c r="A123" s="35">
        <v>515130</v>
      </c>
      <c r="B123" s="35" t="s">
        <v>10</v>
      </c>
      <c r="C123" s="35" t="s">
        <v>165</v>
      </c>
      <c r="D123" s="35" t="s">
        <v>1676</v>
      </c>
      <c r="E123" s="35">
        <v>62.1</v>
      </c>
      <c r="F123" s="34">
        <v>43488</v>
      </c>
    </row>
    <row r="124" spans="1:6" ht="15.75" x14ac:dyDescent="0.25">
      <c r="A124" s="35">
        <v>515130</v>
      </c>
      <c r="B124" s="35" t="s">
        <v>10</v>
      </c>
      <c r="C124" s="35" t="s">
        <v>165</v>
      </c>
      <c r="D124" s="35" t="s">
        <v>1672</v>
      </c>
      <c r="E124" s="35">
        <v>62.1</v>
      </c>
      <c r="F124" s="34">
        <v>43488</v>
      </c>
    </row>
    <row r="125" spans="1:6" ht="15.75" x14ac:dyDescent="0.25">
      <c r="A125" s="35">
        <v>515130</v>
      </c>
      <c r="B125" s="35" t="s">
        <v>10</v>
      </c>
      <c r="C125" s="35" t="s">
        <v>165</v>
      </c>
      <c r="D125" s="35" t="s">
        <v>1674</v>
      </c>
      <c r="E125" s="35">
        <v>62.1</v>
      </c>
      <c r="F125" s="34">
        <v>43488</v>
      </c>
    </row>
    <row r="126" spans="1:6" ht="15.75" x14ac:dyDescent="0.25">
      <c r="A126" s="35">
        <v>515130</v>
      </c>
      <c r="B126" s="35" t="s">
        <v>10</v>
      </c>
      <c r="C126" s="35" t="s">
        <v>165</v>
      </c>
      <c r="D126" s="35" t="s">
        <v>1673</v>
      </c>
      <c r="E126" s="35">
        <v>62.1</v>
      </c>
      <c r="F126" s="34">
        <v>43488</v>
      </c>
    </row>
    <row r="127" spans="1:6" ht="15.75" x14ac:dyDescent="0.25">
      <c r="A127" s="35">
        <v>515130</v>
      </c>
      <c r="B127" s="35" t="s">
        <v>10</v>
      </c>
      <c r="C127" s="35" t="s">
        <v>7</v>
      </c>
      <c r="D127" s="35" t="s">
        <v>1683</v>
      </c>
      <c r="E127" s="35">
        <v>62.94</v>
      </c>
      <c r="F127" s="34">
        <v>43488</v>
      </c>
    </row>
    <row r="128" spans="1:6" ht="15.75" x14ac:dyDescent="0.25">
      <c r="A128" s="35">
        <v>515130</v>
      </c>
      <c r="B128" s="35" t="s">
        <v>10</v>
      </c>
      <c r="C128" s="35" t="s">
        <v>7</v>
      </c>
      <c r="D128" s="35" t="s">
        <v>1679</v>
      </c>
      <c r="E128" s="35">
        <v>62.95</v>
      </c>
      <c r="F128" s="34">
        <v>43488</v>
      </c>
    </row>
    <row r="129" spans="1:6" ht="15.75" x14ac:dyDescent="0.25">
      <c r="A129" s="35">
        <v>515130</v>
      </c>
      <c r="B129" s="35" t="s">
        <v>10</v>
      </c>
      <c r="C129" s="35" t="s">
        <v>7</v>
      </c>
      <c r="D129" s="35" t="s">
        <v>1682</v>
      </c>
      <c r="E129" s="35">
        <v>62.95</v>
      </c>
      <c r="F129" s="34">
        <v>43488</v>
      </c>
    </row>
    <row r="130" spans="1:6" ht="15.75" x14ac:dyDescent="0.25">
      <c r="A130" s="35">
        <v>515130</v>
      </c>
      <c r="B130" s="35" t="s">
        <v>10</v>
      </c>
      <c r="C130" s="35" t="s">
        <v>7</v>
      </c>
      <c r="D130" s="35" t="s">
        <v>1680</v>
      </c>
      <c r="E130" s="35">
        <v>62.96</v>
      </c>
      <c r="F130" s="34">
        <v>43488</v>
      </c>
    </row>
    <row r="131" spans="1:6" ht="15.75" x14ac:dyDescent="0.25">
      <c r="A131" s="35">
        <v>515130</v>
      </c>
      <c r="B131" s="35" t="s">
        <v>10</v>
      </c>
      <c r="C131" s="35" t="s">
        <v>7</v>
      </c>
      <c r="D131" s="35" t="s">
        <v>1678</v>
      </c>
      <c r="E131" s="35">
        <v>62.98</v>
      </c>
      <c r="F131" s="34">
        <v>43488</v>
      </c>
    </row>
    <row r="132" spans="1:6" ht="15.75" x14ac:dyDescent="0.25">
      <c r="A132" s="35">
        <v>515130</v>
      </c>
      <c r="B132" s="35" t="s">
        <v>10</v>
      </c>
      <c r="C132" s="35" t="s">
        <v>7</v>
      </c>
      <c r="D132" s="35" t="s">
        <v>1677</v>
      </c>
      <c r="E132" s="35">
        <v>63.07</v>
      </c>
      <c r="F132" s="34">
        <v>43488</v>
      </c>
    </row>
    <row r="133" spans="1:6" ht="15.75" x14ac:dyDescent="0.25">
      <c r="A133" s="35">
        <v>515130</v>
      </c>
      <c r="B133" s="35" t="s">
        <v>10</v>
      </c>
      <c r="C133" s="35" t="s">
        <v>7</v>
      </c>
      <c r="D133" s="35" t="s">
        <v>1681</v>
      </c>
      <c r="E133" s="35">
        <v>82.91</v>
      </c>
      <c r="F133" s="34">
        <v>43488</v>
      </c>
    </row>
    <row r="134" spans="1:6" ht="15.75" x14ac:dyDescent="0.25">
      <c r="A134" s="35">
        <v>526741</v>
      </c>
      <c r="B134" s="35" t="s">
        <v>23</v>
      </c>
      <c r="C134" s="35" t="s">
        <v>1685</v>
      </c>
      <c r="D134" s="35" t="s">
        <v>1686</v>
      </c>
      <c r="E134" s="35">
        <v>84.8</v>
      </c>
      <c r="F134" s="34">
        <v>43488</v>
      </c>
    </row>
    <row r="135" spans="1:6" ht="15.75" x14ac:dyDescent="0.25">
      <c r="A135" s="35">
        <v>515120</v>
      </c>
      <c r="B135" s="35" t="s">
        <v>9</v>
      </c>
      <c r="C135" s="35" t="s">
        <v>7</v>
      </c>
      <c r="D135" s="35" t="s">
        <v>1684</v>
      </c>
      <c r="E135" s="35">
        <v>218.69</v>
      </c>
      <c r="F135" s="34">
        <v>43488</v>
      </c>
    </row>
    <row r="136" spans="1:6" ht="15.75" x14ac:dyDescent="0.25">
      <c r="A136" s="35">
        <v>515420</v>
      </c>
      <c r="B136" s="35" t="s">
        <v>12</v>
      </c>
      <c r="C136" s="35" t="s">
        <v>7</v>
      </c>
      <c r="D136" s="35" t="s">
        <v>1684</v>
      </c>
      <c r="E136" s="35">
        <v>220.48</v>
      </c>
      <c r="F136" s="34">
        <v>43488</v>
      </c>
    </row>
    <row r="137" spans="1:6" ht="15.75" x14ac:dyDescent="0.25">
      <c r="A137" s="35">
        <v>515410</v>
      </c>
      <c r="B137" s="35" t="s">
        <v>11</v>
      </c>
      <c r="C137" s="35" t="s">
        <v>7</v>
      </c>
      <c r="D137" s="35" t="s">
        <v>1684</v>
      </c>
      <c r="E137" s="35">
        <v>243.62</v>
      </c>
      <c r="F137" s="34">
        <v>43488</v>
      </c>
    </row>
    <row r="138" spans="1:6" ht="15.75" x14ac:dyDescent="0.25">
      <c r="A138" s="35">
        <v>515530</v>
      </c>
      <c r="B138" s="35" t="s">
        <v>13</v>
      </c>
      <c r="C138" s="35" t="s">
        <v>165</v>
      </c>
      <c r="D138" s="35" t="s">
        <v>1673</v>
      </c>
      <c r="E138" s="35">
        <v>255.13</v>
      </c>
      <c r="F138" s="34">
        <v>43488</v>
      </c>
    </row>
    <row r="139" spans="1:6" ht="15.75" x14ac:dyDescent="0.25">
      <c r="A139" s="35">
        <v>515530</v>
      </c>
      <c r="B139" s="35" t="s">
        <v>13</v>
      </c>
      <c r="C139" s="35" t="s">
        <v>165</v>
      </c>
      <c r="D139" s="35" t="s">
        <v>1676</v>
      </c>
      <c r="E139" s="35">
        <v>255.13</v>
      </c>
      <c r="F139" s="34">
        <v>43488</v>
      </c>
    </row>
    <row r="140" spans="1:6" ht="15.75" x14ac:dyDescent="0.25">
      <c r="A140" s="35">
        <v>515530</v>
      </c>
      <c r="B140" s="35" t="s">
        <v>13</v>
      </c>
      <c r="C140" s="35" t="s">
        <v>165</v>
      </c>
      <c r="D140" s="35" t="s">
        <v>1674</v>
      </c>
      <c r="E140" s="35">
        <v>255.13</v>
      </c>
      <c r="F140" s="34">
        <v>43488</v>
      </c>
    </row>
    <row r="141" spans="1:6" ht="15.75" x14ac:dyDescent="0.25">
      <c r="A141" s="35">
        <v>515530</v>
      </c>
      <c r="B141" s="35" t="s">
        <v>13</v>
      </c>
      <c r="C141" s="35" t="s">
        <v>165</v>
      </c>
      <c r="D141" s="35" t="s">
        <v>1672</v>
      </c>
      <c r="E141" s="35">
        <v>255.13</v>
      </c>
      <c r="F141" s="34">
        <v>43488</v>
      </c>
    </row>
    <row r="142" spans="1:6" ht="15.75" x14ac:dyDescent="0.25">
      <c r="A142" s="35">
        <v>515530</v>
      </c>
      <c r="B142" s="35" t="s">
        <v>13</v>
      </c>
      <c r="C142" s="35" t="s">
        <v>165</v>
      </c>
      <c r="D142" s="35" t="s">
        <v>1675</v>
      </c>
      <c r="E142" s="35">
        <v>255.13</v>
      </c>
      <c r="F142" s="34">
        <v>43488</v>
      </c>
    </row>
    <row r="143" spans="1:6" ht="15.75" x14ac:dyDescent="0.25">
      <c r="A143" s="35">
        <v>515120</v>
      </c>
      <c r="B143" s="35" t="s">
        <v>9</v>
      </c>
      <c r="C143" s="35" t="s">
        <v>165</v>
      </c>
      <c r="D143" s="35" t="s">
        <v>1673</v>
      </c>
      <c r="E143" s="35">
        <v>265.51</v>
      </c>
      <c r="F143" s="34">
        <v>43488</v>
      </c>
    </row>
    <row r="144" spans="1:6" ht="15.75" x14ac:dyDescent="0.25">
      <c r="A144" s="35">
        <v>515120</v>
      </c>
      <c r="B144" s="35" t="s">
        <v>9</v>
      </c>
      <c r="C144" s="35" t="s">
        <v>165</v>
      </c>
      <c r="D144" s="35" t="s">
        <v>1672</v>
      </c>
      <c r="E144" s="35">
        <v>265.51</v>
      </c>
      <c r="F144" s="34">
        <v>43488</v>
      </c>
    </row>
    <row r="145" spans="1:6" ht="15.75" x14ac:dyDescent="0.25">
      <c r="A145" s="35">
        <v>515120</v>
      </c>
      <c r="B145" s="35" t="s">
        <v>9</v>
      </c>
      <c r="C145" s="35" t="s">
        <v>165</v>
      </c>
      <c r="D145" s="35" t="s">
        <v>1675</v>
      </c>
      <c r="E145" s="35">
        <v>265.51</v>
      </c>
      <c r="F145" s="34">
        <v>43488</v>
      </c>
    </row>
    <row r="146" spans="1:6" ht="15.75" x14ac:dyDescent="0.25">
      <c r="A146" s="35">
        <v>515120</v>
      </c>
      <c r="B146" s="35" t="s">
        <v>9</v>
      </c>
      <c r="C146" s="35" t="s">
        <v>165</v>
      </c>
      <c r="D146" s="35" t="s">
        <v>1674</v>
      </c>
      <c r="E146" s="35">
        <v>265.51</v>
      </c>
      <c r="F146" s="34">
        <v>43488</v>
      </c>
    </row>
    <row r="147" spans="1:6" ht="15.75" x14ac:dyDescent="0.25">
      <c r="A147" s="35">
        <v>515120</v>
      </c>
      <c r="B147" s="35" t="s">
        <v>9</v>
      </c>
      <c r="C147" s="35" t="s">
        <v>165</v>
      </c>
      <c r="D147" s="35" t="s">
        <v>1676</v>
      </c>
      <c r="E147" s="35">
        <v>265.51</v>
      </c>
      <c r="F147" s="34">
        <v>43488</v>
      </c>
    </row>
    <row r="148" spans="1:6" ht="15.75" x14ac:dyDescent="0.25">
      <c r="A148" s="35">
        <v>515120</v>
      </c>
      <c r="B148" s="35" t="s">
        <v>9</v>
      </c>
      <c r="C148" s="35" t="s">
        <v>7</v>
      </c>
      <c r="D148" s="35" t="s">
        <v>1683</v>
      </c>
      <c r="E148" s="35">
        <v>269.11</v>
      </c>
      <c r="F148" s="34">
        <v>43488</v>
      </c>
    </row>
    <row r="149" spans="1:6" ht="15.75" x14ac:dyDescent="0.25">
      <c r="A149" s="35">
        <v>515120</v>
      </c>
      <c r="B149" s="35" t="s">
        <v>9</v>
      </c>
      <c r="C149" s="35" t="s">
        <v>7</v>
      </c>
      <c r="D149" s="35" t="s">
        <v>1682</v>
      </c>
      <c r="E149" s="35">
        <v>269.18</v>
      </c>
      <c r="F149" s="34">
        <v>43488</v>
      </c>
    </row>
    <row r="150" spans="1:6" ht="15.75" x14ac:dyDescent="0.25">
      <c r="A150" s="35">
        <v>515120</v>
      </c>
      <c r="B150" s="35" t="s">
        <v>9</v>
      </c>
      <c r="C150" s="35" t="s">
        <v>7</v>
      </c>
      <c r="D150" s="35" t="s">
        <v>1680</v>
      </c>
      <c r="E150" s="35">
        <v>269.19</v>
      </c>
      <c r="F150" s="34">
        <v>43488</v>
      </c>
    </row>
    <row r="151" spans="1:6" ht="15.75" x14ac:dyDescent="0.25">
      <c r="A151" s="35">
        <v>515120</v>
      </c>
      <c r="B151" s="35" t="s">
        <v>9</v>
      </c>
      <c r="C151" s="35" t="s">
        <v>7</v>
      </c>
      <c r="D151" s="35" t="s">
        <v>1679</v>
      </c>
      <c r="E151" s="35">
        <v>269.19</v>
      </c>
      <c r="F151" s="34">
        <v>43488</v>
      </c>
    </row>
    <row r="152" spans="1:6" ht="15.75" x14ac:dyDescent="0.25">
      <c r="A152" s="35">
        <v>515120</v>
      </c>
      <c r="B152" s="35" t="s">
        <v>9</v>
      </c>
      <c r="C152" s="35" t="s">
        <v>7</v>
      </c>
      <c r="D152" s="35" t="s">
        <v>1678</v>
      </c>
      <c r="E152" s="35">
        <v>269.29000000000002</v>
      </c>
      <c r="F152" s="34">
        <v>43488</v>
      </c>
    </row>
    <row r="153" spans="1:6" ht="15.75" x14ac:dyDescent="0.25">
      <c r="A153" s="35">
        <v>515120</v>
      </c>
      <c r="B153" s="35" t="s">
        <v>9</v>
      </c>
      <c r="C153" s="35" t="s">
        <v>7</v>
      </c>
      <c r="D153" s="35" t="s">
        <v>1677</v>
      </c>
      <c r="E153" s="35">
        <v>269.69</v>
      </c>
      <c r="F153" s="34">
        <v>43488</v>
      </c>
    </row>
    <row r="154" spans="1:6" ht="15.75" x14ac:dyDescent="0.25">
      <c r="A154" s="35">
        <v>515420</v>
      </c>
      <c r="B154" s="35" t="s">
        <v>12</v>
      </c>
      <c r="C154" s="35" t="s">
        <v>165</v>
      </c>
      <c r="D154" s="35" t="s">
        <v>1673</v>
      </c>
      <c r="E154" s="35">
        <v>273.37</v>
      </c>
      <c r="F154" s="34">
        <v>43488</v>
      </c>
    </row>
    <row r="155" spans="1:6" ht="15.75" x14ac:dyDescent="0.25">
      <c r="A155" s="35">
        <v>515420</v>
      </c>
      <c r="B155" s="35" t="s">
        <v>12</v>
      </c>
      <c r="C155" s="35" t="s">
        <v>165</v>
      </c>
      <c r="D155" s="35" t="s">
        <v>1674</v>
      </c>
      <c r="E155" s="35">
        <v>273.37</v>
      </c>
      <c r="F155" s="34">
        <v>43488</v>
      </c>
    </row>
    <row r="156" spans="1:6" ht="15.75" x14ac:dyDescent="0.25">
      <c r="A156" s="35">
        <v>515420</v>
      </c>
      <c r="B156" s="35" t="s">
        <v>12</v>
      </c>
      <c r="C156" s="35" t="s">
        <v>165</v>
      </c>
      <c r="D156" s="35" t="s">
        <v>1675</v>
      </c>
      <c r="E156" s="35">
        <v>273.37</v>
      </c>
      <c r="F156" s="34">
        <v>43488</v>
      </c>
    </row>
    <row r="157" spans="1:6" ht="15.75" x14ac:dyDescent="0.25">
      <c r="A157" s="35">
        <v>515420</v>
      </c>
      <c r="B157" s="35" t="s">
        <v>12</v>
      </c>
      <c r="C157" s="35" t="s">
        <v>165</v>
      </c>
      <c r="D157" s="35" t="s">
        <v>1676</v>
      </c>
      <c r="E157" s="35">
        <v>273.37</v>
      </c>
      <c r="F157" s="34">
        <v>43488</v>
      </c>
    </row>
    <row r="158" spans="1:6" ht="15.75" x14ac:dyDescent="0.25">
      <c r="A158" s="35">
        <v>515420</v>
      </c>
      <c r="B158" s="35" t="s">
        <v>12</v>
      </c>
      <c r="C158" s="35" t="s">
        <v>165</v>
      </c>
      <c r="D158" s="35" t="s">
        <v>1672</v>
      </c>
      <c r="E158" s="35">
        <v>273.37</v>
      </c>
      <c r="F158" s="34">
        <v>43488</v>
      </c>
    </row>
    <row r="159" spans="1:6" ht="15.75" x14ac:dyDescent="0.25">
      <c r="A159" s="35">
        <v>515420</v>
      </c>
      <c r="B159" s="35" t="s">
        <v>12</v>
      </c>
      <c r="C159" s="35" t="s">
        <v>7</v>
      </c>
      <c r="D159" s="35" t="s">
        <v>1679</v>
      </c>
      <c r="E159" s="35">
        <v>273.39</v>
      </c>
      <c r="F159" s="34">
        <v>43488</v>
      </c>
    </row>
    <row r="160" spans="1:6" ht="15.75" x14ac:dyDescent="0.25">
      <c r="A160" s="35">
        <v>515420</v>
      </c>
      <c r="B160" s="35" t="s">
        <v>12</v>
      </c>
      <c r="C160" s="35" t="s">
        <v>7</v>
      </c>
      <c r="D160" s="35" t="s">
        <v>1677</v>
      </c>
      <c r="E160" s="35">
        <v>283.08999999999997</v>
      </c>
      <c r="F160" s="34">
        <v>43488</v>
      </c>
    </row>
    <row r="161" spans="1:6" ht="15.75" x14ac:dyDescent="0.25">
      <c r="A161" s="35">
        <v>515420</v>
      </c>
      <c r="B161" s="35" t="s">
        <v>12</v>
      </c>
      <c r="C161" s="35" t="s">
        <v>7</v>
      </c>
      <c r="D161" s="35" t="s">
        <v>1680</v>
      </c>
      <c r="E161" s="35">
        <v>283.10000000000002</v>
      </c>
      <c r="F161" s="34">
        <v>43488</v>
      </c>
    </row>
    <row r="162" spans="1:6" ht="15.75" x14ac:dyDescent="0.25">
      <c r="A162" s="35">
        <v>515420</v>
      </c>
      <c r="B162" s="35" t="s">
        <v>12</v>
      </c>
      <c r="C162" s="35" t="s">
        <v>7</v>
      </c>
      <c r="D162" s="35" t="s">
        <v>1683</v>
      </c>
      <c r="E162" s="35">
        <v>283.10000000000002</v>
      </c>
      <c r="F162" s="34">
        <v>43488</v>
      </c>
    </row>
    <row r="163" spans="1:6" ht="15.75" x14ac:dyDescent="0.25">
      <c r="A163" s="35">
        <v>515420</v>
      </c>
      <c r="B163" s="35" t="s">
        <v>12</v>
      </c>
      <c r="C163" s="35" t="s">
        <v>7</v>
      </c>
      <c r="D163" s="35" t="s">
        <v>1682</v>
      </c>
      <c r="E163" s="35">
        <v>283.10000000000002</v>
      </c>
      <c r="F163" s="34">
        <v>43488</v>
      </c>
    </row>
    <row r="164" spans="1:6" ht="15.75" x14ac:dyDescent="0.25">
      <c r="A164" s="35">
        <v>515420</v>
      </c>
      <c r="B164" s="35" t="s">
        <v>12</v>
      </c>
      <c r="C164" s="35" t="s">
        <v>7</v>
      </c>
      <c r="D164" s="35" t="s">
        <v>1678</v>
      </c>
      <c r="E164" s="35">
        <v>283.10000000000002</v>
      </c>
      <c r="F164" s="34">
        <v>43488</v>
      </c>
    </row>
    <row r="165" spans="1:6" ht="15.75" x14ac:dyDescent="0.25">
      <c r="A165" s="35">
        <v>515420</v>
      </c>
      <c r="B165" s="35" t="s">
        <v>12</v>
      </c>
      <c r="C165" s="35" t="s">
        <v>7</v>
      </c>
      <c r="D165" s="35" t="s">
        <v>1681</v>
      </c>
      <c r="E165" s="35">
        <v>283.10000000000002</v>
      </c>
      <c r="F165" s="34">
        <v>43488</v>
      </c>
    </row>
    <row r="166" spans="1:6" ht="15.75" x14ac:dyDescent="0.25">
      <c r="A166" s="35">
        <v>515410</v>
      </c>
      <c r="B166" s="35" t="s">
        <v>11</v>
      </c>
      <c r="C166" s="35" t="s">
        <v>7</v>
      </c>
      <c r="D166" s="35" t="s">
        <v>1677</v>
      </c>
      <c r="E166" s="35">
        <v>302.08</v>
      </c>
      <c r="F166" s="34">
        <v>43488</v>
      </c>
    </row>
    <row r="167" spans="1:6" ht="15.75" x14ac:dyDescent="0.25">
      <c r="A167" s="35">
        <v>515410</v>
      </c>
      <c r="B167" s="35" t="s">
        <v>11</v>
      </c>
      <c r="C167" s="35" t="s">
        <v>7</v>
      </c>
      <c r="D167" s="35" t="s">
        <v>1682</v>
      </c>
      <c r="E167" s="35">
        <v>302.08999999999997</v>
      </c>
      <c r="F167" s="34">
        <v>43488</v>
      </c>
    </row>
    <row r="168" spans="1:6" ht="15.75" x14ac:dyDescent="0.25">
      <c r="A168" s="35">
        <v>515410</v>
      </c>
      <c r="B168" s="35" t="s">
        <v>11</v>
      </c>
      <c r="C168" s="35" t="s">
        <v>7</v>
      </c>
      <c r="D168" s="35" t="s">
        <v>1681</v>
      </c>
      <c r="E168" s="35">
        <v>302.08999999999997</v>
      </c>
      <c r="F168" s="34">
        <v>43488</v>
      </c>
    </row>
    <row r="169" spans="1:6" ht="15.75" x14ac:dyDescent="0.25">
      <c r="A169" s="35">
        <v>515410</v>
      </c>
      <c r="B169" s="35" t="s">
        <v>11</v>
      </c>
      <c r="C169" s="35" t="s">
        <v>7</v>
      </c>
      <c r="D169" s="35" t="s">
        <v>1678</v>
      </c>
      <c r="E169" s="35">
        <v>302.08999999999997</v>
      </c>
      <c r="F169" s="34">
        <v>43488</v>
      </c>
    </row>
    <row r="170" spans="1:6" ht="15.75" x14ac:dyDescent="0.25">
      <c r="A170" s="35">
        <v>515410</v>
      </c>
      <c r="B170" s="35" t="s">
        <v>11</v>
      </c>
      <c r="C170" s="35" t="s">
        <v>7</v>
      </c>
      <c r="D170" s="35" t="s">
        <v>1679</v>
      </c>
      <c r="E170" s="35">
        <v>302.08999999999997</v>
      </c>
      <c r="F170" s="34">
        <v>43488</v>
      </c>
    </row>
    <row r="171" spans="1:6" ht="15.75" x14ac:dyDescent="0.25">
      <c r="A171" s="35">
        <v>515410</v>
      </c>
      <c r="B171" s="35" t="s">
        <v>11</v>
      </c>
      <c r="C171" s="35" t="s">
        <v>7</v>
      </c>
      <c r="D171" s="35" t="s">
        <v>1680</v>
      </c>
      <c r="E171" s="35">
        <v>302.08999999999997</v>
      </c>
      <c r="F171" s="34">
        <v>43488</v>
      </c>
    </row>
    <row r="172" spans="1:6" ht="15.75" x14ac:dyDescent="0.25">
      <c r="A172" s="35">
        <v>515410</v>
      </c>
      <c r="B172" s="35" t="s">
        <v>11</v>
      </c>
      <c r="C172" s="35" t="s">
        <v>7</v>
      </c>
      <c r="D172" s="35" t="s">
        <v>1683</v>
      </c>
      <c r="E172" s="35">
        <v>302.08999999999997</v>
      </c>
      <c r="F172" s="34">
        <v>43488</v>
      </c>
    </row>
    <row r="173" spans="1:6" ht="15.75" x14ac:dyDescent="0.25">
      <c r="A173" s="35">
        <v>515410</v>
      </c>
      <c r="B173" s="35" t="s">
        <v>11</v>
      </c>
      <c r="C173" s="35" t="s">
        <v>165</v>
      </c>
      <c r="D173" s="35" t="s">
        <v>1676</v>
      </c>
      <c r="E173" s="35">
        <v>302.08999999999997</v>
      </c>
      <c r="F173" s="34">
        <v>43488</v>
      </c>
    </row>
    <row r="174" spans="1:6" ht="15.75" x14ac:dyDescent="0.25">
      <c r="A174" s="35">
        <v>515410</v>
      </c>
      <c r="B174" s="35" t="s">
        <v>11</v>
      </c>
      <c r="C174" s="35" t="s">
        <v>165</v>
      </c>
      <c r="D174" s="35" t="s">
        <v>1674</v>
      </c>
      <c r="E174" s="35">
        <v>302.08999999999997</v>
      </c>
      <c r="F174" s="34">
        <v>43488</v>
      </c>
    </row>
    <row r="175" spans="1:6" ht="15.75" x14ac:dyDescent="0.25">
      <c r="A175" s="35">
        <v>515410</v>
      </c>
      <c r="B175" s="35" t="s">
        <v>11</v>
      </c>
      <c r="C175" s="35" t="s">
        <v>165</v>
      </c>
      <c r="D175" s="35" t="s">
        <v>1675</v>
      </c>
      <c r="E175" s="35">
        <v>302.08999999999997</v>
      </c>
      <c r="F175" s="34">
        <v>43488</v>
      </c>
    </row>
    <row r="176" spans="1:6" ht="15.75" x14ac:dyDescent="0.25">
      <c r="A176" s="35">
        <v>515410</v>
      </c>
      <c r="B176" s="35" t="s">
        <v>11</v>
      </c>
      <c r="C176" s="35" t="s">
        <v>165</v>
      </c>
      <c r="D176" s="35" t="s">
        <v>1672</v>
      </c>
      <c r="E176" s="35">
        <v>302.08999999999997</v>
      </c>
      <c r="F176" s="34">
        <v>43488</v>
      </c>
    </row>
    <row r="177" spans="1:6" ht="15.75" x14ac:dyDescent="0.25">
      <c r="A177" s="35">
        <v>515410</v>
      </c>
      <c r="B177" s="35" t="s">
        <v>11</v>
      </c>
      <c r="C177" s="35" t="s">
        <v>165</v>
      </c>
      <c r="D177" s="35" t="s">
        <v>1673</v>
      </c>
      <c r="E177" s="35">
        <v>302.08999999999997</v>
      </c>
      <c r="F177" s="34">
        <v>43488</v>
      </c>
    </row>
    <row r="178" spans="1:6" ht="15.75" x14ac:dyDescent="0.25">
      <c r="A178" s="35">
        <v>515530</v>
      </c>
      <c r="B178" s="35" t="s">
        <v>13</v>
      </c>
      <c r="C178" s="35" t="s">
        <v>7</v>
      </c>
      <c r="D178" s="35" t="s">
        <v>1677</v>
      </c>
      <c r="E178" s="35">
        <v>305.08999999999997</v>
      </c>
      <c r="F178" s="34">
        <v>43488</v>
      </c>
    </row>
    <row r="179" spans="1:6" ht="15.75" x14ac:dyDescent="0.25">
      <c r="A179" s="35">
        <v>515530</v>
      </c>
      <c r="B179" s="35" t="s">
        <v>13</v>
      </c>
      <c r="C179" s="35" t="s">
        <v>7</v>
      </c>
      <c r="D179" s="35" t="s">
        <v>1684</v>
      </c>
      <c r="E179" s="35">
        <v>343.24</v>
      </c>
      <c r="F179" s="34">
        <v>43488</v>
      </c>
    </row>
    <row r="180" spans="1:6" ht="15.75" x14ac:dyDescent="0.25">
      <c r="A180" s="35">
        <v>515530</v>
      </c>
      <c r="B180" s="35" t="s">
        <v>13</v>
      </c>
      <c r="C180" s="35" t="s">
        <v>7</v>
      </c>
      <c r="D180" s="35" t="s">
        <v>1681</v>
      </c>
      <c r="E180" s="35">
        <v>343.24</v>
      </c>
      <c r="F180" s="34">
        <v>43488</v>
      </c>
    </row>
    <row r="181" spans="1:6" ht="15.75" x14ac:dyDescent="0.25">
      <c r="A181" s="35">
        <v>515530</v>
      </c>
      <c r="B181" s="35" t="s">
        <v>13</v>
      </c>
      <c r="C181" s="35" t="s">
        <v>7</v>
      </c>
      <c r="D181" s="35" t="s">
        <v>1679</v>
      </c>
      <c r="E181" s="35">
        <v>343.24</v>
      </c>
      <c r="F181" s="34">
        <v>43488</v>
      </c>
    </row>
    <row r="182" spans="1:6" ht="15.75" x14ac:dyDescent="0.25">
      <c r="A182" s="35">
        <v>515530</v>
      </c>
      <c r="B182" s="35" t="s">
        <v>13</v>
      </c>
      <c r="C182" s="35" t="s">
        <v>7</v>
      </c>
      <c r="D182" s="35" t="s">
        <v>1680</v>
      </c>
      <c r="E182" s="35">
        <v>343.24</v>
      </c>
      <c r="F182" s="34">
        <v>43488</v>
      </c>
    </row>
    <row r="183" spans="1:6" ht="15.75" x14ac:dyDescent="0.25">
      <c r="A183" s="35">
        <v>515530</v>
      </c>
      <c r="B183" s="35" t="s">
        <v>13</v>
      </c>
      <c r="C183" s="35" t="s">
        <v>7</v>
      </c>
      <c r="D183" s="35" t="s">
        <v>1682</v>
      </c>
      <c r="E183" s="35">
        <v>343.24</v>
      </c>
      <c r="F183" s="34">
        <v>43488</v>
      </c>
    </row>
    <row r="184" spans="1:6" ht="15.75" x14ac:dyDescent="0.25">
      <c r="A184" s="35">
        <v>515530</v>
      </c>
      <c r="B184" s="35" t="s">
        <v>13</v>
      </c>
      <c r="C184" s="35" t="s">
        <v>7</v>
      </c>
      <c r="D184" s="35" t="s">
        <v>1683</v>
      </c>
      <c r="E184" s="35">
        <v>343.24</v>
      </c>
      <c r="F184" s="34">
        <v>43488</v>
      </c>
    </row>
    <row r="185" spans="1:6" ht="15.75" x14ac:dyDescent="0.25">
      <c r="A185" s="35">
        <v>515530</v>
      </c>
      <c r="B185" s="35" t="s">
        <v>13</v>
      </c>
      <c r="C185" s="35" t="s">
        <v>7</v>
      </c>
      <c r="D185" s="35" t="s">
        <v>1678</v>
      </c>
      <c r="E185" s="35">
        <v>348.27</v>
      </c>
      <c r="F185" s="34">
        <v>43488</v>
      </c>
    </row>
    <row r="186" spans="1:6" ht="15.75" x14ac:dyDescent="0.25">
      <c r="A186" s="35">
        <v>515120</v>
      </c>
      <c r="B186" s="35" t="s">
        <v>9</v>
      </c>
      <c r="C186" s="35" t="s">
        <v>7</v>
      </c>
      <c r="D186" s="35" t="s">
        <v>1681</v>
      </c>
      <c r="E186" s="35">
        <v>354.54</v>
      </c>
      <c r="F186" s="34">
        <v>43488</v>
      </c>
    </row>
    <row r="187" spans="1:6" ht="15.75" x14ac:dyDescent="0.25">
      <c r="A187" s="35">
        <v>511120</v>
      </c>
      <c r="B187" s="35" t="s">
        <v>6</v>
      </c>
      <c r="C187" s="35" t="s">
        <v>7</v>
      </c>
      <c r="D187" s="35" t="s">
        <v>1684</v>
      </c>
      <c r="E187" s="35">
        <v>3561.73</v>
      </c>
      <c r="F187" s="34">
        <v>43488</v>
      </c>
    </row>
    <row r="188" spans="1:6" ht="15.75" x14ac:dyDescent="0.25">
      <c r="A188" s="35">
        <v>511120</v>
      </c>
      <c r="B188" s="35" t="s">
        <v>6</v>
      </c>
      <c r="C188" s="35" t="s">
        <v>7</v>
      </c>
      <c r="D188" s="35" t="s">
        <v>1681</v>
      </c>
      <c r="E188" s="35">
        <v>4416.67</v>
      </c>
      <c r="F188" s="34">
        <v>43488</v>
      </c>
    </row>
    <row r="189" spans="1:6" ht="15.75" x14ac:dyDescent="0.25">
      <c r="A189" s="35">
        <v>511120</v>
      </c>
      <c r="B189" s="35" t="s">
        <v>6</v>
      </c>
      <c r="C189" s="35" t="s">
        <v>7</v>
      </c>
      <c r="D189" s="35" t="s">
        <v>1683</v>
      </c>
      <c r="E189" s="35">
        <v>4416.67</v>
      </c>
      <c r="F189" s="34">
        <v>43488</v>
      </c>
    </row>
    <row r="190" spans="1:6" ht="15.75" x14ac:dyDescent="0.25">
      <c r="A190" s="35">
        <v>511120</v>
      </c>
      <c r="B190" s="35" t="s">
        <v>6</v>
      </c>
      <c r="C190" s="35" t="s">
        <v>7</v>
      </c>
      <c r="D190" s="35" t="s">
        <v>1680</v>
      </c>
      <c r="E190" s="35">
        <v>4416.67</v>
      </c>
      <c r="F190" s="34">
        <v>43488</v>
      </c>
    </row>
    <row r="191" spans="1:6" ht="15.75" x14ac:dyDescent="0.25">
      <c r="A191" s="35">
        <v>511120</v>
      </c>
      <c r="B191" s="35" t="s">
        <v>6</v>
      </c>
      <c r="C191" s="35" t="s">
        <v>7</v>
      </c>
      <c r="D191" s="35" t="s">
        <v>1677</v>
      </c>
      <c r="E191" s="35">
        <v>4416.67</v>
      </c>
      <c r="F191" s="34">
        <v>43488</v>
      </c>
    </row>
    <row r="192" spans="1:6" ht="15.75" x14ac:dyDescent="0.25">
      <c r="A192" s="35">
        <v>511120</v>
      </c>
      <c r="B192" s="35" t="s">
        <v>6</v>
      </c>
      <c r="C192" s="35" t="s">
        <v>7</v>
      </c>
      <c r="D192" s="35" t="s">
        <v>1679</v>
      </c>
      <c r="E192" s="35">
        <v>4416.67</v>
      </c>
      <c r="F192" s="34">
        <v>43488</v>
      </c>
    </row>
    <row r="193" spans="1:6" ht="15.75" x14ac:dyDescent="0.25">
      <c r="A193" s="35">
        <v>511120</v>
      </c>
      <c r="B193" s="35" t="s">
        <v>6</v>
      </c>
      <c r="C193" s="35" t="s">
        <v>7</v>
      </c>
      <c r="D193" s="35" t="s">
        <v>1682</v>
      </c>
      <c r="E193" s="35">
        <v>4416.67</v>
      </c>
      <c r="F193" s="34">
        <v>43488</v>
      </c>
    </row>
    <row r="194" spans="1:6" ht="15.75" x14ac:dyDescent="0.25">
      <c r="A194" s="35">
        <v>511120</v>
      </c>
      <c r="B194" s="35" t="s">
        <v>6</v>
      </c>
      <c r="C194" s="35" t="s">
        <v>7</v>
      </c>
      <c r="D194" s="35" t="s">
        <v>1678</v>
      </c>
      <c r="E194" s="35">
        <v>4416.67</v>
      </c>
      <c r="F194" s="34">
        <v>43488</v>
      </c>
    </row>
    <row r="195" spans="1:6" ht="15.75" x14ac:dyDescent="0.25">
      <c r="A195" s="35">
        <v>511120</v>
      </c>
      <c r="B195" s="35" t="s">
        <v>6</v>
      </c>
      <c r="C195" s="35" t="s">
        <v>165</v>
      </c>
      <c r="D195" s="35" t="s">
        <v>1673</v>
      </c>
      <c r="E195" s="35">
        <v>4416.67</v>
      </c>
      <c r="F195" s="34">
        <v>43488</v>
      </c>
    </row>
    <row r="196" spans="1:6" ht="15.75" x14ac:dyDescent="0.25">
      <c r="A196" s="35">
        <v>511120</v>
      </c>
      <c r="B196" s="35" t="s">
        <v>6</v>
      </c>
      <c r="C196" s="35" t="s">
        <v>165</v>
      </c>
      <c r="D196" s="35" t="s">
        <v>1676</v>
      </c>
      <c r="E196" s="35">
        <v>4416.67</v>
      </c>
      <c r="F196" s="34">
        <v>43488</v>
      </c>
    </row>
    <row r="197" spans="1:6" ht="15.75" x14ac:dyDescent="0.25">
      <c r="A197" s="35">
        <v>511120</v>
      </c>
      <c r="B197" s="35" t="s">
        <v>6</v>
      </c>
      <c r="C197" s="35" t="s">
        <v>165</v>
      </c>
      <c r="D197" s="35" t="s">
        <v>1672</v>
      </c>
      <c r="E197" s="35">
        <v>4416.67</v>
      </c>
      <c r="F197" s="34">
        <v>43488</v>
      </c>
    </row>
    <row r="198" spans="1:6" ht="15.75" x14ac:dyDescent="0.25">
      <c r="A198" s="35">
        <v>511120</v>
      </c>
      <c r="B198" s="35" t="s">
        <v>6</v>
      </c>
      <c r="C198" s="35" t="s">
        <v>165</v>
      </c>
      <c r="D198" s="35" t="s">
        <v>1675</v>
      </c>
      <c r="E198" s="35">
        <v>4416.67</v>
      </c>
      <c r="F198" s="34">
        <v>43488</v>
      </c>
    </row>
    <row r="199" spans="1:6" ht="15.75" x14ac:dyDescent="0.25">
      <c r="A199" s="35">
        <v>511120</v>
      </c>
      <c r="B199" s="35" t="s">
        <v>6</v>
      </c>
      <c r="C199" s="35" t="s">
        <v>165</v>
      </c>
      <c r="D199" s="35" t="s">
        <v>1674</v>
      </c>
      <c r="E199" s="35">
        <v>4416.67</v>
      </c>
      <c r="F199" s="34">
        <v>43488</v>
      </c>
    </row>
    <row r="200" spans="1:6" ht="15.75" x14ac:dyDescent="0.25">
      <c r="A200" s="35">
        <v>527120</v>
      </c>
      <c r="B200" s="35" t="s">
        <v>143</v>
      </c>
      <c r="C200" s="35" t="s">
        <v>144</v>
      </c>
      <c r="D200" s="35" t="s">
        <v>1687</v>
      </c>
      <c r="E200" s="35">
        <v>14.5</v>
      </c>
      <c r="F200" s="34">
        <v>43493</v>
      </c>
    </row>
    <row r="201" spans="1:6" ht="15.75" x14ac:dyDescent="0.25">
      <c r="A201" s="35">
        <v>558921</v>
      </c>
      <c r="B201" s="35" t="s">
        <v>262</v>
      </c>
      <c r="C201" s="35" t="s">
        <v>462</v>
      </c>
      <c r="D201" s="35" t="s">
        <v>1645</v>
      </c>
      <c r="E201" s="35">
        <v>-1950</v>
      </c>
      <c r="F201" s="34">
        <v>43494</v>
      </c>
    </row>
    <row r="202" spans="1:6" ht="15.75" x14ac:dyDescent="0.25">
      <c r="A202" s="35">
        <v>515130</v>
      </c>
      <c r="B202" s="35" t="s">
        <v>10</v>
      </c>
      <c r="C202" s="35" t="s">
        <v>7</v>
      </c>
      <c r="D202" s="35" t="s">
        <v>1688</v>
      </c>
      <c r="E202" s="35">
        <v>93.81</v>
      </c>
      <c r="F202" s="34">
        <v>43496</v>
      </c>
    </row>
    <row r="203" spans="1:6" ht="15.75" x14ac:dyDescent="0.25">
      <c r="A203" s="35">
        <v>515120</v>
      </c>
      <c r="B203" s="35" t="s">
        <v>9</v>
      </c>
      <c r="C203" s="35" t="s">
        <v>7</v>
      </c>
      <c r="D203" s="35" t="s">
        <v>1688</v>
      </c>
      <c r="E203" s="35">
        <v>401.1</v>
      </c>
      <c r="F203" s="34">
        <v>43496</v>
      </c>
    </row>
    <row r="204" spans="1:6" ht="15.75" x14ac:dyDescent="0.25">
      <c r="A204" s="35">
        <v>515420</v>
      </c>
      <c r="B204" s="35" t="s">
        <v>12</v>
      </c>
      <c r="C204" s="35" t="s">
        <v>7</v>
      </c>
      <c r="D204" s="35" t="s">
        <v>1688</v>
      </c>
      <c r="E204" s="35">
        <v>421.59</v>
      </c>
      <c r="F204" s="34">
        <v>43496</v>
      </c>
    </row>
    <row r="205" spans="1:6" ht="15.75" x14ac:dyDescent="0.25">
      <c r="A205" s="35">
        <v>515410</v>
      </c>
      <c r="B205" s="35" t="s">
        <v>11</v>
      </c>
      <c r="C205" s="35" t="s">
        <v>7</v>
      </c>
      <c r="D205" s="35" t="s">
        <v>1688</v>
      </c>
      <c r="E205" s="35">
        <v>449.87</v>
      </c>
      <c r="F205" s="34">
        <v>43496</v>
      </c>
    </row>
    <row r="206" spans="1:6" ht="15.75" x14ac:dyDescent="0.25">
      <c r="A206" s="35">
        <v>515530</v>
      </c>
      <c r="B206" s="35" t="s">
        <v>13</v>
      </c>
      <c r="C206" s="35" t="s">
        <v>7</v>
      </c>
      <c r="D206" s="35" t="s">
        <v>1688</v>
      </c>
      <c r="E206" s="35">
        <v>518.64</v>
      </c>
      <c r="F206" s="34">
        <v>43496</v>
      </c>
    </row>
    <row r="207" spans="1:6" ht="15.75" x14ac:dyDescent="0.25">
      <c r="A207" s="35">
        <v>511120</v>
      </c>
      <c r="B207" s="35" t="s">
        <v>6</v>
      </c>
      <c r="C207" s="35" t="s">
        <v>7</v>
      </c>
      <c r="D207" s="35" t="s">
        <v>1688</v>
      </c>
      <c r="E207" s="35">
        <v>6577.08</v>
      </c>
      <c r="F207" s="34">
        <v>43496</v>
      </c>
    </row>
  </sheetData>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9BC25-5A0A-4A94-AAAD-1024AD9890DD}">
  <dimension ref="A1:F71"/>
  <sheetViews>
    <sheetView workbookViewId="0"/>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531110</v>
      </c>
      <c r="B2" s="35" t="s">
        <v>27</v>
      </c>
      <c r="C2" s="35" t="s">
        <v>1158</v>
      </c>
      <c r="D2" s="35" t="s">
        <v>1563</v>
      </c>
      <c r="E2" s="35">
        <v>10.47</v>
      </c>
      <c r="F2" s="34">
        <v>43435</v>
      </c>
    </row>
    <row r="3" spans="1:6" ht="15.75" x14ac:dyDescent="0.25">
      <c r="A3" s="35">
        <v>526712</v>
      </c>
      <c r="B3" s="35" t="s">
        <v>14</v>
      </c>
      <c r="C3" s="35" t="s">
        <v>1304</v>
      </c>
      <c r="D3" s="35" t="s">
        <v>1564</v>
      </c>
      <c r="E3" s="35">
        <v>17.5</v>
      </c>
      <c r="F3" s="34">
        <v>43435</v>
      </c>
    </row>
    <row r="4" spans="1:6" ht="15.75" x14ac:dyDescent="0.25">
      <c r="A4" s="35">
        <v>526712</v>
      </c>
      <c r="B4" s="35" t="s">
        <v>14</v>
      </c>
      <c r="C4" s="35" t="s">
        <v>1350</v>
      </c>
      <c r="D4" s="35" t="s">
        <v>1565</v>
      </c>
      <c r="E4" s="35">
        <v>36.96</v>
      </c>
      <c r="F4" s="34">
        <v>43435</v>
      </c>
    </row>
    <row r="5" spans="1:6" ht="15.75" x14ac:dyDescent="0.25">
      <c r="A5" s="35">
        <v>526712</v>
      </c>
      <c r="B5" s="35" t="s">
        <v>14</v>
      </c>
      <c r="C5" s="35" t="s">
        <v>1431</v>
      </c>
      <c r="D5" s="35" t="s">
        <v>1566</v>
      </c>
      <c r="E5" s="35">
        <v>43.56</v>
      </c>
      <c r="F5" s="34">
        <v>43435</v>
      </c>
    </row>
    <row r="6" spans="1:6" ht="15.75" x14ac:dyDescent="0.25">
      <c r="A6" s="35">
        <v>526712</v>
      </c>
      <c r="B6" s="35" t="s">
        <v>14</v>
      </c>
      <c r="C6" s="35" t="s">
        <v>1344</v>
      </c>
      <c r="D6" s="35" t="s">
        <v>1567</v>
      </c>
      <c r="E6" s="35">
        <v>50.82</v>
      </c>
      <c r="F6" s="34">
        <v>43435</v>
      </c>
    </row>
    <row r="7" spans="1:6" ht="15.75" x14ac:dyDescent="0.25">
      <c r="A7" s="35">
        <v>526712</v>
      </c>
      <c r="B7" s="35" t="s">
        <v>14</v>
      </c>
      <c r="C7" s="35" t="s">
        <v>1344</v>
      </c>
      <c r="D7" s="35" t="s">
        <v>1568</v>
      </c>
      <c r="E7" s="35">
        <v>50.82</v>
      </c>
      <c r="F7" s="34">
        <v>43435</v>
      </c>
    </row>
    <row r="8" spans="1:6" ht="15.75" x14ac:dyDescent="0.25">
      <c r="A8" s="35">
        <v>526712</v>
      </c>
      <c r="B8" s="35" t="s">
        <v>14</v>
      </c>
      <c r="C8" s="35" t="s">
        <v>413</v>
      </c>
      <c r="D8" s="35" t="s">
        <v>1569</v>
      </c>
      <c r="E8" s="35">
        <v>51.24</v>
      </c>
      <c r="F8" s="34">
        <v>43435</v>
      </c>
    </row>
    <row r="9" spans="1:6" ht="15.75" x14ac:dyDescent="0.25">
      <c r="A9" s="35">
        <v>526712</v>
      </c>
      <c r="B9" s="35" t="s">
        <v>14</v>
      </c>
      <c r="C9" s="35" t="s">
        <v>1412</v>
      </c>
      <c r="D9" s="35" t="s">
        <v>1570</v>
      </c>
      <c r="E9" s="35">
        <v>58.74</v>
      </c>
      <c r="F9" s="34">
        <v>43435</v>
      </c>
    </row>
    <row r="10" spans="1:6" ht="15.75" x14ac:dyDescent="0.25">
      <c r="A10" s="35">
        <v>526712</v>
      </c>
      <c r="B10" s="35" t="s">
        <v>14</v>
      </c>
      <c r="C10" s="35" t="s">
        <v>1571</v>
      </c>
      <c r="D10" s="35" t="s">
        <v>1572</v>
      </c>
      <c r="E10" s="35">
        <v>60.72</v>
      </c>
      <c r="F10" s="34">
        <v>43435</v>
      </c>
    </row>
    <row r="11" spans="1:6" ht="15.75" x14ac:dyDescent="0.25">
      <c r="A11" s="35">
        <v>526712</v>
      </c>
      <c r="B11" s="35" t="s">
        <v>14</v>
      </c>
      <c r="C11" s="35" t="s">
        <v>1350</v>
      </c>
      <c r="D11" s="35" t="s">
        <v>1573</v>
      </c>
      <c r="E11" s="35">
        <v>62.04</v>
      </c>
      <c r="F11" s="34">
        <v>43435</v>
      </c>
    </row>
    <row r="12" spans="1:6" ht="15.75" x14ac:dyDescent="0.25">
      <c r="A12" s="35">
        <v>526712</v>
      </c>
      <c r="B12" s="35" t="s">
        <v>14</v>
      </c>
      <c r="C12" s="35" t="s">
        <v>785</v>
      </c>
      <c r="D12" s="35" t="s">
        <v>1574</v>
      </c>
      <c r="E12" s="35">
        <v>62.04</v>
      </c>
      <c r="F12" s="34">
        <v>43435</v>
      </c>
    </row>
    <row r="13" spans="1:6" ht="15.75" x14ac:dyDescent="0.25">
      <c r="A13" s="35">
        <v>526712</v>
      </c>
      <c r="B13" s="35" t="s">
        <v>14</v>
      </c>
      <c r="C13" s="35" t="s">
        <v>413</v>
      </c>
      <c r="D13" s="35" t="s">
        <v>1575</v>
      </c>
      <c r="E13" s="35">
        <v>67.319999999999993</v>
      </c>
      <c r="F13" s="34">
        <v>43435</v>
      </c>
    </row>
    <row r="14" spans="1:6" ht="15.75" x14ac:dyDescent="0.25">
      <c r="A14" s="35">
        <v>526712</v>
      </c>
      <c r="B14" s="35" t="s">
        <v>14</v>
      </c>
      <c r="C14" s="35" t="s">
        <v>1415</v>
      </c>
      <c r="D14" s="35" t="s">
        <v>1576</v>
      </c>
      <c r="E14" s="35">
        <v>73.92</v>
      </c>
      <c r="F14" s="34">
        <v>43435</v>
      </c>
    </row>
    <row r="15" spans="1:6" ht="15.75" x14ac:dyDescent="0.25">
      <c r="A15" s="35">
        <v>526712</v>
      </c>
      <c r="B15" s="35" t="s">
        <v>14</v>
      </c>
      <c r="C15" s="35" t="s">
        <v>1486</v>
      </c>
      <c r="D15" s="35" t="s">
        <v>1577</v>
      </c>
      <c r="E15" s="35">
        <v>73.92</v>
      </c>
      <c r="F15" s="34">
        <v>43435</v>
      </c>
    </row>
    <row r="16" spans="1:6" ht="15.75" x14ac:dyDescent="0.25">
      <c r="A16" s="35">
        <v>526712</v>
      </c>
      <c r="B16" s="35" t="s">
        <v>14</v>
      </c>
      <c r="C16" s="35" t="s">
        <v>1545</v>
      </c>
      <c r="D16" s="35" t="s">
        <v>1578</v>
      </c>
      <c r="E16" s="35">
        <v>75.900000000000006</v>
      </c>
      <c r="F16" s="34">
        <v>43435</v>
      </c>
    </row>
    <row r="17" spans="1:6" ht="15.75" x14ac:dyDescent="0.25">
      <c r="A17" s="35">
        <v>526712</v>
      </c>
      <c r="B17" s="35" t="s">
        <v>14</v>
      </c>
      <c r="C17" s="35" t="s">
        <v>1001</v>
      </c>
      <c r="D17" s="35" t="s">
        <v>1579</v>
      </c>
      <c r="E17" s="35">
        <v>75.900000000000006</v>
      </c>
      <c r="F17" s="34">
        <v>43435</v>
      </c>
    </row>
    <row r="18" spans="1:6" ht="15.75" x14ac:dyDescent="0.25">
      <c r="A18" s="35">
        <v>526712</v>
      </c>
      <c r="B18" s="35" t="s">
        <v>14</v>
      </c>
      <c r="C18" s="35" t="s">
        <v>1496</v>
      </c>
      <c r="D18" s="35" t="s">
        <v>1580</v>
      </c>
      <c r="E18" s="35">
        <v>76.56</v>
      </c>
      <c r="F18" s="34">
        <v>43435</v>
      </c>
    </row>
    <row r="19" spans="1:6" ht="15.75" x14ac:dyDescent="0.25">
      <c r="A19" s="35">
        <v>526712</v>
      </c>
      <c r="B19" s="35" t="s">
        <v>14</v>
      </c>
      <c r="C19" s="35" t="s">
        <v>927</v>
      </c>
      <c r="D19" s="35" t="s">
        <v>1581</v>
      </c>
      <c r="E19" s="35">
        <v>87.12</v>
      </c>
      <c r="F19" s="34">
        <v>43435</v>
      </c>
    </row>
    <row r="20" spans="1:6" ht="15.75" x14ac:dyDescent="0.25">
      <c r="A20" s="35">
        <v>526712</v>
      </c>
      <c r="B20" s="35" t="s">
        <v>14</v>
      </c>
      <c r="C20" s="35" t="s">
        <v>1151</v>
      </c>
      <c r="D20" s="35" t="s">
        <v>1582</v>
      </c>
      <c r="E20" s="35">
        <v>100.32</v>
      </c>
      <c r="F20" s="34">
        <v>43435</v>
      </c>
    </row>
    <row r="21" spans="1:6" ht="15.75" x14ac:dyDescent="0.25">
      <c r="A21" s="35">
        <v>526712</v>
      </c>
      <c r="B21" s="35" t="s">
        <v>14</v>
      </c>
      <c r="C21" s="35" t="s">
        <v>789</v>
      </c>
      <c r="D21" s="35" t="s">
        <v>1583</v>
      </c>
      <c r="E21" s="35">
        <v>110.88</v>
      </c>
      <c r="F21" s="34">
        <v>43435</v>
      </c>
    </row>
    <row r="22" spans="1:6" ht="15.75" x14ac:dyDescent="0.25">
      <c r="A22" s="35">
        <v>526712</v>
      </c>
      <c r="B22" s="35" t="s">
        <v>14</v>
      </c>
      <c r="C22" s="35" t="s">
        <v>1519</v>
      </c>
      <c r="D22" s="35" t="s">
        <v>1584</v>
      </c>
      <c r="E22" s="35">
        <v>133.97999999999999</v>
      </c>
      <c r="F22" s="34">
        <v>43435</v>
      </c>
    </row>
    <row r="23" spans="1:6" ht="15.75" x14ac:dyDescent="0.25">
      <c r="A23" s="35">
        <v>526741</v>
      </c>
      <c r="B23" s="35" t="s">
        <v>23</v>
      </c>
      <c r="C23" s="35" t="s">
        <v>1585</v>
      </c>
      <c r="D23" s="35" t="s">
        <v>1586</v>
      </c>
      <c r="E23" s="35">
        <v>169.6</v>
      </c>
      <c r="F23" s="34">
        <v>43435</v>
      </c>
    </row>
    <row r="24" spans="1:6" ht="15.75" x14ac:dyDescent="0.25">
      <c r="A24" s="35">
        <v>558921</v>
      </c>
      <c r="B24" s="35" t="s">
        <v>262</v>
      </c>
      <c r="C24" s="35" t="s">
        <v>1158</v>
      </c>
      <c r="D24" s="35" t="s">
        <v>1563</v>
      </c>
      <c r="E24" s="35">
        <v>220.51</v>
      </c>
      <c r="F24" s="34">
        <v>43435</v>
      </c>
    </row>
    <row r="25" spans="1:6" ht="15.75" x14ac:dyDescent="0.25">
      <c r="A25" s="35">
        <v>587890</v>
      </c>
      <c r="B25" s="35" t="s">
        <v>32</v>
      </c>
      <c r="C25" s="35" t="s">
        <v>404</v>
      </c>
      <c r="D25" s="35" t="s">
        <v>1587</v>
      </c>
      <c r="E25" s="35">
        <v>930</v>
      </c>
      <c r="F25" s="34">
        <v>43435</v>
      </c>
    </row>
    <row r="26" spans="1:6" ht="15.75" x14ac:dyDescent="0.25">
      <c r="A26" s="35">
        <v>558921</v>
      </c>
      <c r="B26" s="35" t="s">
        <v>262</v>
      </c>
      <c r="C26" s="35" t="s">
        <v>1588</v>
      </c>
      <c r="D26" s="35" t="s">
        <v>1589</v>
      </c>
      <c r="E26" s="35">
        <v>990</v>
      </c>
      <c r="F26" s="34">
        <v>43435</v>
      </c>
    </row>
    <row r="27" spans="1:6" ht="15.75" x14ac:dyDescent="0.25">
      <c r="A27" s="35">
        <v>587890</v>
      </c>
      <c r="B27" s="35" t="s">
        <v>32</v>
      </c>
      <c r="C27" s="35" t="s">
        <v>441</v>
      </c>
      <c r="D27" s="35" t="s">
        <v>1590</v>
      </c>
      <c r="E27" s="35">
        <v>1000</v>
      </c>
      <c r="F27" s="34">
        <v>43435</v>
      </c>
    </row>
    <row r="28" spans="1:6" ht="15.75" x14ac:dyDescent="0.25">
      <c r="A28" s="35">
        <v>587890</v>
      </c>
      <c r="B28" s="35" t="s">
        <v>32</v>
      </c>
      <c r="C28" s="35" t="s">
        <v>1591</v>
      </c>
      <c r="D28" s="35" t="s">
        <v>1592</v>
      </c>
      <c r="E28" s="35">
        <v>2963</v>
      </c>
      <c r="F28" s="34">
        <v>43435</v>
      </c>
    </row>
    <row r="29" spans="1:6" ht="15.75" x14ac:dyDescent="0.25">
      <c r="A29" s="35">
        <v>526712</v>
      </c>
      <c r="B29" s="35" t="s">
        <v>14</v>
      </c>
      <c r="C29" s="35" t="s">
        <v>1348</v>
      </c>
      <c r="D29" s="35" t="s">
        <v>1593</v>
      </c>
      <c r="E29" s="35">
        <v>90.42</v>
      </c>
      <c r="F29" s="34">
        <v>43437</v>
      </c>
    </row>
    <row r="30" spans="1:6" ht="15.75" x14ac:dyDescent="0.25">
      <c r="A30" s="35">
        <v>587890</v>
      </c>
      <c r="B30" s="35" t="s">
        <v>32</v>
      </c>
      <c r="C30" s="35" t="s">
        <v>1514</v>
      </c>
      <c r="D30" s="35" t="s">
        <v>1594</v>
      </c>
      <c r="E30" s="35">
        <v>1780</v>
      </c>
      <c r="F30" s="34">
        <v>43437</v>
      </c>
    </row>
    <row r="31" spans="1:6" ht="15.75" x14ac:dyDescent="0.25">
      <c r="A31" s="35">
        <v>526150</v>
      </c>
      <c r="B31" s="35" t="s">
        <v>258</v>
      </c>
      <c r="C31" s="35" t="s">
        <v>1158</v>
      </c>
      <c r="D31" s="35" t="s">
        <v>1595</v>
      </c>
      <c r="E31" s="35">
        <v>46.2</v>
      </c>
      <c r="F31" s="34">
        <v>43438</v>
      </c>
    </row>
    <row r="32" spans="1:6" ht="15.75" x14ac:dyDescent="0.25">
      <c r="A32" s="35">
        <v>526120</v>
      </c>
      <c r="B32" s="35" t="s">
        <v>217</v>
      </c>
      <c r="C32" s="35" t="s">
        <v>1158</v>
      </c>
      <c r="D32" s="35" t="s">
        <v>1595</v>
      </c>
      <c r="E32" s="35">
        <v>47.85</v>
      </c>
      <c r="F32" s="34">
        <v>43438</v>
      </c>
    </row>
    <row r="33" spans="1:6" ht="15.75" x14ac:dyDescent="0.25">
      <c r="A33" s="35">
        <v>526712</v>
      </c>
      <c r="B33" s="35" t="s">
        <v>14</v>
      </c>
      <c r="C33" s="35" t="s">
        <v>1596</v>
      </c>
      <c r="D33" s="35" t="s">
        <v>1597</v>
      </c>
      <c r="E33" s="35">
        <v>87.12</v>
      </c>
      <c r="F33" s="34">
        <v>43438</v>
      </c>
    </row>
    <row r="34" spans="1:6" ht="15.75" x14ac:dyDescent="0.25">
      <c r="A34" s="35">
        <v>526712</v>
      </c>
      <c r="B34" s="35" t="s">
        <v>14</v>
      </c>
      <c r="C34" s="35" t="s">
        <v>1598</v>
      </c>
      <c r="D34" s="35" t="s">
        <v>1599</v>
      </c>
      <c r="E34" s="35">
        <v>136.62</v>
      </c>
      <c r="F34" s="34">
        <v>43438</v>
      </c>
    </row>
    <row r="35" spans="1:6" ht="15.75" x14ac:dyDescent="0.25">
      <c r="A35" s="35">
        <v>526741</v>
      </c>
      <c r="B35" s="35" t="s">
        <v>23</v>
      </c>
      <c r="C35" s="35" t="s">
        <v>1600</v>
      </c>
      <c r="D35" s="35" t="s">
        <v>1601</v>
      </c>
      <c r="E35" s="35">
        <v>5898.9</v>
      </c>
      <c r="F35" s="34">
        <v>43438</v>
      </c>
    </row>
    <row r="36" spans="1:6" ht="15.75" x14ac:dyDescent="0.25">
      <c r="A36" s="35">
        <v>526150</v>
      </c>
      <c r="B36" s="35" t="s">
        <v>258</v>
      </c>
      <c r="C36" s="35" t="s">
        <v>1178</v>
      </c>
      <c r="D36" s="35" t="s">
        <v>1602</v>
      </c>
      <c r="E36" s="35">
        <v>18.899999999999999</v>
      </c>
      <c r="F36" s="34">
        <v>43440</v>
      </c>
    </row>
    <row r="37" spans="1:6" ht="15.75" x14ac:dyDescent="0.25">
      <c r="A37" s="35">
        <v>526120</v>
      </c>
      <c r="B37" s="35" t="s">
        <v>217</v>
      </c>
      <c r="C37" s="35" t="s">
        <v>1178</v>
      </c>
      <c r="D37" s="35" t="s">
        <v>1602</v>
      </c>
      <c r="E37" s="35">
        <v>47.85</v>
      </c>
      <c r="F37" s="34">
        <v>43440</v>
      </c>
    </row>
    <row r="38" spans="1:6" ht="15.75" x14ac:dyDescent="0.25">
      <c r="A38" s="35">
        <v>526741</v>
      </c>
      <c r="B38" s="35" t="s">
        <v>23</v>
      </c>
      <c r="C38" s="35" t="s">
        <v>1510</v>
      </c>
      <c r="D38" s="35" t="s">
        <v>1511</v>
      </c>
      <c r="E38" s="35">
        <v>-5421.9</v>
      </c>
      <c r="F38" s="34">
        <v>43445</v>
      </c>
    </row>
    <row r="39" spans="1:6" ht="15.75" x14ac:dyDescent="0.25">
      <c r="A39" s="35">
        <v>526741</v>
      </c>
      <c r="B39" s="35" t="s">
        <v>23</v>
      </c>
      <c r="C39" s="35" t="s">
        <v>1603</v>
      </c>
      <c r="D39" s="35" t="s">
        <v>1604</v>
      </c>
      <c r="E39" s="35">
        <v>5421.9</v>
      </c>
      <c r="F39" s="34">
        <v>43446</v>
      </c>
    </row>
    <row r="40" spans="1:6" ht="15.75" x14ac:dyDescent="0.25">
      <c r="A40" s="35">
        <v>558979</v>
      </c>
      <c r="B40" s="35" t="s">
        <v>150</v>
      </c>
      <c r="C40" s="35" t="s">
        <v>1536</v>
      </c>
      <c r="D40" s="35" t="s">
        <v>1605</v>
      </c>
      <c r="E40" s="35">
        <v>125</v>
      </c>
      <c r="F40" s="34">
        <v>43451</v>
      </c>
    </row>
    <row r="41" spans="1:6" ht="15.75" x14ac:dyDescent="0.25">
      <c r="A41" s="35">
        <v>558979</v>
      </c>
      <c r="B41" s="35" t="s">
        <v>150</v>
      </c>
      <c r="C41" s="35" t="s">
        <v>1529</v>
      </c>
      <c r="D41" s="35" t="s">
        <v>1606</v>
      </c>
      <c r="E41" s="35">
        <v>125</v>
      </c>
      <c r="F41" s="34">
        <v>43451</v>
      </c>
    </row>
    <row r="42" spans="1:6" ht="15.75" x14ac:dyDescent="0.25">
      <c r="A42" s="35">
        <v>558979</v>
      </c>
      <c r="B42" s="35" t="s">
        <v>150</v>
      </c>
      <c r="C42" s="35" t="s">
        <v>1538</v>
      </c>
      <c r="D42" s="35" t="s">
        <v>1607</v>
      </c>
      <c r="E42" s="35">
        <v>125</v>
      </c>
      <c r="F42" s="34">
        <v>43451</v>
      </c>
    </row>
    <row r="43" spans="1:6" ht="15.75" x14ac:dyDescent="0.25">
      <c r="A43" s="35">
        <v>558979</v>
      </c>
      <c r="B43" s="35" t="s">
        <v>150</v>
      </c>
      <c r="C43" s="35" t="s">
        <v>1540</v>
      </c>
      <c r="D43" s="35" t="s">
        <v>1608</v>
      </c>
      <c r="E43" s="35">
        <v>125</v>
      </c>
      <c r="F43" s="34">
        <v>43451</v>
      </c>
    </row>
    <row r="44" spans="1:6" ht="15.75" x14ac:dyDescent="0.25">
      <c r="A44" s="35">
        <v>558979</v>
      </c>
      <c r="B44" s="35" t="s">
        <v>150</v>
      </c>
      <c r="C44" s="35" t="s">
        <v>1519</v>
      </c>
      <c r="D44" s="35" t="s">
        <v>1609</v>
      </c>
      <c r="E44" s="35">
        <v>125</v>
      </c>
      <c r="F44" s="34">
        <v>43451</v>
      </c>
    </row>
    <row r="45" spans="1:6" ht="15.75" x14ac:dyDescent="0.25">
      <c r="A45" s="35">
        <v>558979</v>
      </c>
      <c r="B45" s="35" t="s">
        <v>150</v>
      </c>
      <c r="C45" s="35" t="s">
        <v>21</v>
      </c>
      <c r="D45" s="35" t="s">
        <v>1610</v>
      </c>
      <c r="E45" s="35">
        <v>125</v>
      </c>
      <c r="F45" s="34">
        <v>43451</v>
      </c>
    </row>
    <row r="46" spans="1:6" ht="15.75" x14ac:dyDescent="0.25">
      <c r="A46" s="35">
        <v>558979</v>
      </c>
      <c r="B46" s="35" t="s">
        <v>150</v>
      </c>
      <c r="C46" s="35" t="s">
        <v>1523</v>
      </c>
      <c r="D46" s="35" t="s">
        <v>1611</v>
      </c>
      <c r="E46" s="35">
        <v>125</v>
      </c>
      <c r="F46" s="34">
        <v>43451</v>
      </c>
    </row>
    <row r="47" spans="1:6" ht="15.75" x14ac:dyDescent="0.25">
      <c r="A47" s="35">
        <v>558979</v>
      </c>
      <c r="B47" s="35" t="s">
        <v>150</v>
      </c>
      <c r="C47" s="35" t="s">
        <v>1531</v>
      </c>
      <c r="D47" s="35" t="s">
        <v>1612</v>
      </c>
      <c r="E47" s="35">
        <v>125</v>
      </c>
      <c r="F47" s="34">
        <v>43451</v>
      </c>
    </row>
    <row r="48" spans="1:6" ht="15.75" x14ac:dyDescent="0.25">
      <c r="A48" s="35">
        <v>558979</v>
      </c>
      <c r="B48" s="35" t="s">
        <v>150</v>
      </c>
      <c r="C48" s="35" t="s">
        <v>1521</v>
      </c>
      <c r="D48" s="35" t="s">
        <v>1613</v>
      </c>
      <c r="E48" s="35">
        <v>125</v>
      </c>
      <c r="F48" s="34">
        <v>43451</v>
      </c>
    </row>
    <row r="49" spans="1:6" ht="15.75" x14ac:dyDescent="0.25">
      <c r="A49" s="35">
        <v>558979</v>
      </c>
      <c r="B49" s="35" t="s">
        <v>150</v>
      </c>
      <c r="C49" s="35" t="s">
        <v>1496</v>
      </c>
      <c r="D49" s="35" t="s">
        <v>1614</v>
      </c>
      <c r="E49" s="35">
        <v>125</v>
      </c>
      <c r="F49" s="34">
        <v>43451</v>
      </c>
    </row>
    <row r="50" spans="1:6" ht="15.75" x14ac:dyDescent="0.25">
      <c r="A50" s="35">
        <v>558979</v>
      </c>
      <c r="B50" s="35" t="s">
        <v>150</v>
      </c>
      <c r="C50" s="35" t="s">
        <v>1545</v>
      </c>
      <c r="D50" s="35" t="s">
        <v>1615</v>
      </c>
      <c r="E50" s="35">
        <v>125</v>
      </c>
      <c r="F50" s="34">
        <v>43451</v>
      </c>
    </row>
    <row r="51" spans="1:6" ht="15.75" x14ac:dyDescent="0.25">
      <c r="A51" s="35">
        <v>558979</v>
      </c>
      <c r="B51" s="35" t="s">
        <v>150</v>
      </c>
      <c r="C51" s="35" t="s">
        <v>1216</v>
      </c>
      <c r="D51" s="35" t="s">
        <v>1616</v>
      </c>
      <c r="E51" s="35">
        <v>125</v>
      </c>
      <c r="F51" s="34">
        <v>43451</v>
      </c>
    </row>
    <row r="52" spans="1:6" ht="15.75" x14ac:dyDescent="0.25">
      <c r="A52" s="35">
        <v>558979</v>
      </c>
      <c r="B52" s="35" t="s">
        <v>150</v>
      </c>
      <c r="C52" s="35" t="s">
        <v>1527</v>
      </c>
      <c r="D52" s="35" t="s">
        <v>1617</v>
      </c>
      <c r="E52" s="35">
        <v>125</v>
      </c>
      <c r="F52" s="34">
        <v>43451</v>
      </c>
    </row>
    <row r="53" spans="1:6" ht="15.75" x14ac:dyDescent="0.25">
      <c r="A53" s="35">
        <v>558979</v>
      </c>
      <c r="B53" s="35" t="s">
        <v>150</v>
      </c>
      <c r="C53" s="35" t="s">
        <v>1525</v>
      </c>
      <c r="D53" s="35" t="s">
        <v>1618</v>
      </c>
      <c r="E53" s="35">
        <v>125</v>
      </c>
      <c r="F53" s="34">
        <v>43451</v>
      </c>
    </row>
    <row r="54" spans="1:6" ht="15.75" x14ac:dyDescent="0.25">
      <c r="A54" s="35">
        <v>558979</v>
      </c>
      <c r="B54" s="35" t="s">
        <v>150</v>
      </c>
      <c r="C54" s="35" t="s">
        <v>1533</v>
      </c>
      <c r="D54" s="35" t="s">
        <v>1619</v>
      </c>
      <c r="E54" s="35">
        <v>125</v>
      </c>
      <c r="F54" s="34">
        <v>43451</v>
      </c>
    </row>
    <row r="55" spans="1:6" ht="15.75" x14ac:dyDescent="0.25">
      <c r="A55" s="35">
        <v>558979</v>
      </c>
      <c r="B55" s="35" t="s">
        <v>150</v>
      </c>
      <c r="C55" s="35" t="s">
        <v>1517</v>
      </c>
      <c r="D55" s="35" t="s">
        <v>1620</v>
      </c>
      <c r="E55" s="35">
        <v>125</v>
      </c>
      <c r="F55" s="34">
        <v>43451</v>
      </c>
    </row>
    <row r="56" spans="1:6" ht="15.75" x14ac:dyDescent="0.25">
      <c r="A56" s="35">
        <v>558979</v>
      </c>
      <c r="B56" s="35" t="s">
        <v>150</v>
      </c>
      <c r="C56" s="35" t="s">
        <v>1542</v>
      </c>
      <c r="D56" s="35" t="s">
        <v>1621</v>
      </c>
      <c r="E56" s="35">
        <v>125</v>
      </c>
      <c r="F56" s="34">
        <v>43451</v>
      </c>
    </row>
    <row r="57" spans="1:6" ht="15.75" x14ac:dyDescent="0.25">
      <c r="A57" s="35">
        <v>558979</v>
      </c>
      <c r="B57" s="35" t="s">
        <v>150</v>
      </c>
      <c r="C57" s="35" t="s">
        <v>927</v>
      </c>
      <c r="D57" s="35" t="s">
        <v>1622</v>
      </c>
      <c r="E57" s="35">
        <v>200</v>
      </c>
      <c r="F57" s="34">
        <v>43451</v>
      </c>
    </row>
    <row r="58" spans="1:6" ht="15.75" x14ac:dyDescent="0.25">
      <c r="A58" s="35">
        <v>558979</v>
      </c>
      <c r="B58" s="35" t="s">
        <v>150</v>
      </c>
      <c r="C58" s="35" t="s">
        <v>1415</v>
      </c>
      <c r="D58" s="35" t="s">
        <v>1623</v>
      </c>
      <c r="E58" s="35">
        <v>200</v>
      </c>
      <c r="F58" s="34">
        <v>43451</v>
      </c>
    </row>
    <row r="59" spans="1:6" ht="15.75" x14ac:dyDescent="0.25">
      <c r="A59" s="35">
        <v>558979</v>
      </c>
      <c r="B59" s="35" t="s">
        <v>150</v>
      </c>
      <c r="C59" s="35" t="s">
        <v>1410</v>
      </c>
      <c r="D59" s="35" t="s">
        <v>1624</v>
      </c>
      <c r="E59" s="35">
        <v>200</v>
      </c>
      <c r="F59" s="34">
        <v>43451</v>
      </c>
    </row>
    <row r="60" spans="1:6" ht="15.75" x14ac:dyDescent="0.25">
      <c r="A60" s="35">
        <v>558979</v>
      </c>
      <c r="B60" s="35" t="s">
        <v>150</v>
      </c>
      <c r="C60" s="35" t="s">
        <v>1062</v>
      </c>
      <c r="D60" s="35" t="s">
        <v>1625</v>
      </c>
      <c r="E60" s="35">
        <v>200</v>
      </c>
      <c r="F60" s="34">
        <v>43451</v>
      </c>
    </row>
    <row r="61" spans="1:6" ht="15.75" x14ac:dyDescent="0.25">
      <c r="A61" s="35">
        <v>558979</v>
      </c>
      <c r="B61" s="35" t="s">
        <v>150</v>
      </c>
      <c r="C61" s="35" t="s">
        <v>1001</v>
      </c>
      <c r="D61" s="35" t="s">
        <v>1626</v>
      </c>
      <c r="E61" s="35">
        <v>200</v>
      </c>
      <c r="F61" s="34">
        <v>43451</v>
      </c>
    </row>
    <row r="62" spans="1:6" ht="15.75" x14ac:dyDescent="0.25">
      <c r="A62" s="35">
        <v>558979</v>
      </c>
      <c r="B62" s="35" t="s">
        <v>150</v>
      </c>
      <c r="C62" s="35" t="s">
        <v>785</v>
      </c>
      <c r="D62" s="35" t="s">
        <v>1627</v>
      </c>
      <c r="E62" s="35">
        <v>200</v>
      </c>
      <c r="F62" s="34">
        <v>43451</v>
      </c>
    </row>
    <row r="63" spans="1:6" ht="15.75" x14ac:dyDescent="0.25">
      <c r="A63" s="35">
        <v>558979</v>
      </c>
      <c r="B63" s="35" t="s">
        <v>150</v>
      </c>
      <c r="C63" s="35" t="s">
        <v>1029</v>
      </c>
      <c r="D63" s="35" t="s">
        <v>1628</v>
      </c>
      <c r="E63" s="35">
        <v>225</v>
      </c>
      <c r="F63" s="34">
        <v>43451</v>
      </c>
    </row>
    <row r="64" spans="1:6" ht="15.75" x14ac:dyDescent="0.25">
      <c r="A64" s="35">
        <v>558979</v>
      </c>
      <c r="B64" s="35" t="s">
        <v>150</v>
      </c>
      <c r="C64" s="35" t="s">
        <v>789</v>
      </c>
      <c r="D64" s="35" t="s">
        <v>1629</v>
      </c>
      <c r="E64" s="35">
        <v>333.34</v>
      </c>
      <c r="F64" s="34">
        <v>43451</v>
      </c>
    </row>
    <row r="65" spans="1:6" ht="15.75" x14ac:dyDescent="0.25">
      <c r="A65" s="35">
        <v>558979</v>
      </c>
      <c r="B65" s="35" t="s">
        <v>150</v>
      </c>
      <c r="C65" s="35" t="s">
        <v>309</v>
      </c>
      <c r="D65" s="35" t="s">
        <v>1630</v>
      </c>
      <c r="E65" s="35">
        <v>541.66999999999996</v>
      </c>
      <c r="F65" s="34">
        <v>43451</v>
      </c>
    </row>
    <row r="66" spans="1:6" ht="15.75" x14ac:dyDescent="0.25">
      <c r="A66" s="35">
        <v>515130</v>
      </c>
      <c r="B66" s="35" t="s">
        <v>10</v>
      </c>
      <c r="C66" s="35" t="s">
        <v>7</v>
      </c>
      <c r="D66" s="35" t="s">
        <v>1631</v>
      </c>
      <c r="E66" s="35">
        <v>93.79</v>
      </c>
      <c r="F66" s="34">
        <v>43455</v>
      </c>
    </row>
    <row r="67" spans="1:6" ht="15.75" x14ac:dyDescent="0.25">
      <c r="A67" s="35">
        <v>515120</v>
      </c>
      <c r="B67" s="35" t="s">
        <v>9</v>
      </c>
      <c r="C67" s="35" t="s">
        <v>7</v>
      </c>
      <c r="D67" s="35" t="s">
        <v>1631</v>
      </c>
      <c r="E67" s="35">
        <v>401.03</v>
      </c>
      <c r="F67" s="34">
        <v>43455</v>
      </c>
    </row>
    <row r="68" spans="1:6" ht="15.75" x14ac:dyDescent="0.25">
      <c r="A68" s="35">
        <v>515420</v>
      </c>
      <c r="B68" s="35" t="s">
        <v>12</v>
      </c>
      <c r="C68" s="35" t="s">
        <v>7</v>
      </c>
      <c r="D68" s="35" t="s">
        <v>1631</v>
      </c>
      <c r="E68" s="35">
        <v>421.59</v>
      </c>
      <c r="F68" s="34">
        <v>43455</v>
      </c>
    </row>
    <row r="69" spans="1:6" ht="15.75" x14ac:dyDescent="0.25">
      <c r="A69" s="35">
        <v>515410</v>
      </c>
      <c r="B69" s="35" t="s">
        <v>11</v>
      </c>
      <c r="C69" s="35" t="s">
        <v>7</v>
      </c>
      <c r="D69" s="35" t="s">
        <v>1631</v>
      </c>
      <c r="E69" s="35">
        <v>449.87</v>
      </c>
      <c r="F69" s="34">
        <v>43455</v>
      </c>
    </row>
    <row r="70" spans="1:6" ht="15.75" x14ac:dyDescent="0.25">
      <c r="A70" s="35">
        <v>515530</v>
      </c>
      <c r="B70" s="35" t="s">
        <v>13</v>
      </c>
      <c r="C70" s="35" t="s">
        <v>7</v>
      </c>
      <c r="D70" s="35" t="s">
        <v>1631</v>
      </c>
      <c r="E70" s="35">
        <v>518.64</v>
      </c>
      <c r="F70" s="34">
        <v>43455</v>
      </c>
    </row>
    <row r="71" spans="1:6" ht="15.75" x14ac:dyDescent="0.25">
      <c r="A71" s="35">
        <v>511120</v>
      </c>
      <c r="B71" s="35" t="s">
        <v>6</v>
      </c>
      <c r="C71" s="35" t="s">
        <v>7</v>
      </c>
      <c r="D71" s="35" t="s">
        <v>1631</v>
      </c>
      <c r="E71" s="35">
        <v>6577.08</v>
      </c>
      <c r="F71" s="34">
        <v>43455</v>
      </c>
    </row>
  </sheetData>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19B1F-205B-4328-B432-E84E935B40C8}">
  <dimension ref="A1:F47"/>
  <sheetViews>
    <sheetView workbookViewId="0">
      <selection sqref="A1:F47"/>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526741</v>
      </c>
      <c r="B2" s="35" t="s">
        <v>23</v>
      </c>
      <c r="C2" s="35" t="s">
        <v>1510</v>
      </c>
      <c r="D2" s="35" t="s">
        <v>1511</v>
      </c>
      <c r="E2" s="35">
        <v>5421.9</v>
      </c>
      <c r="F2" s="34">
        <v>43405</v>
      </c>
    </row>
    <row r="3" spans="1:6" ht="15.75" x14ac:dyDescent="0.25">
      <c r="A3" s="35">
        <v>526741</v>
      </c>
      <c r="B3" s="35" t="s">
        <v>23</v>
      </c>
      <c r="C3" s="35" t="s">
        <v>812</v>
      </c>
      <c r="D3" s="35" t="s">
        <v>1512</v>
      </c>
      <c r="E3" s="35">
        <v>84.8</v>
      </c>
      <c r="F3" s="34">
        <v>43406</v>
      </c>
    </row>
    <row r="4" spans="1:6" ht="15.75" x14ac:dyDescent="0.25">
      <c r="A4" s="35">
        <v>558979</v>
      </c>
      <c r="B4" s="35" t="s">
        <v>150</v>
      </c>
      <c r="C4" s="35" t="s">
        <v>1029</v>
      </c>
      <c r="D4" s="35" t="s">
        <v>1505</v>
      </c>
      <c r="E4" s="35">
        <v>-225</v>
      </c>
      <c r="F4" s="34">
        <v>43411</v>
      </c>
    </row>
    <row r="5" spans="1:6" ht="15.75" x14ac:dyDescent="0.25">
      <c r="A5" s="35">
        <v>526150</v>
      </c>
      <c r="B5" s="35" t="s">
        <v>258</v>
      </c>
      <c r="C5" s="35" t="s">
        <v>1158</v>
      </c>
      <c r="D5" s="35" t="s">
        <v>1513</v>
      </c>
      <c r="E5" s="35">
        <v>59.8</v>
      </c>
      <c r="F5" s="34">
        <v>43411</v>
      </c>
    </row>
    <row r="6" spans="1:6" ht="15.75" x14ac:dyDescent="0.25">
      <c r="A6" s="35">
        <v>526120</v>
      </c>
      <c r="B6" s="35" t="s">
        <v>217</v>
      </c>
      <c r="C6" s="35" t="s">
        <v>1158</v>
      </c>
      <c r="D6" s="35" t="s">
        <v>1513</v>
      </c>
      <c r="E6" s="35">
        <v>127.72</v>
      </c>
      <c r="F6" s="34">
        <v>43411</v>
      </c>
    </row>
    <row r="7" spans="1:6" ht="15.75" x14ac:dyDescent="0.25">
      <c r="A7" s="35">
        <v>558921</v>
      </c>
      <c r="B7" s="35" t="s">
        <v>262</v>
      </c>
      <c r="C7" s="35" t="s">
        <v>1514</v>
      </c>
      <c r="D7" s="35" t="s">
        <v>1515</v>
      </c>
      <c r="E7" s="35">
        <v>1056</v>
      </c>
      <c r="F7" s="34">
        <v>43418</v>
      </c>
    </row>
    <row r="8" spans="1:6" ht="15.75" x14ac:dyDescent="0.25">
      <c r="A8" s="35">
        <v>558979</v>
      </c>
      <c r="B8" s="35" t="s">
        <v>150</v>
      </c>
      <c r="C8" s="35" t="s">
        <v>21</v>
      </c>
      <c r="D8" s="35" t="s">
        <v>1516</v>
      </c>
      <c r="E8" s="35">
        <v>125</v>
      </c>
      <c r="F8" s="34">
        <v>43423</v>
      </c>
    </row>
    <row r="9" spans="1:6" ht="15.75" x14ac:dyDescent="0.25">
      <c r="A9" s="35">
        <v>558979</v>
      </c>
      <c r="B9" s="35" t="s">
        <v>150</v>
      </c>
      <c r="C9" s="35" t="s">
        <v>1517</v>
      </c>
      <c r="D9" s="35" t="s">
        <v>1518</v>
      </c>
      <c r="E9" s="35">
        <v>125</v>
      </c>
      <c r="F9" s="34">
        <v>43423</v>
      </c>
    </row>
    <row r="10" spans="1:6" ht="15.75" x14ac:dyDescent="0.25">
      <c r="A10" s="35">
        <v>558979</v>
      </c>
      <c r="B10" s="35" t="s">
        <v>150</v>
      </c>
      <c r="C10" s="35" t="s">
        <v>1519</v>
      </c>
      <c r="D10" s="35" t="s">
        <v>1520</v>
      </c>
      <c r="E10" s="35">
        <v>125</v>
      </c>
      <c r="F10" s="34">
        <v>43423</v>
      </c>
    </row>
    <row r="11" spans="1:6" ht="15.75" x14ac:dyDescent="0.25">
      <c r="A11" s="35">
        <v>558979</v>
      </c>
      <c r="B11" s="35" t="s">
        <v>150</v>
      </c>
      <c r="C11" s="35" t="s">
        <v>1521</v>
      </c>
      <c r="D11" s="35" t="s">
        <v>1522</v>
      </c>
      <c r="E11" s="35">
        <v>125</v>
      </c>
      <c r="F11" s="34">
        <v>43423</v>
      </c>
    </row>
    <row r="12" spans="1:6" ht="15.75" x14ac:dyDescent="0.25">
      <c r="A12" s="35">
        <v>558979</v>
      </c>
      <c r="B12" s="35" t="s">
        <v>150</v>
      </c>
      <c r="C12" s="35" t="s">
        <v>1523</v>
      </c>
      <c r="D12" s="35" t="s">
        <v>1524</v>
      </c>
      <c r="E12" s="35">
        <v>125</v>
      </c>
      <c r="F12" s="34">
        <v>43423</v>
      </c>
    </row>
    <row r="13" spans="1:6" ht="15.75" x14ac:dyDescent="0.25">
      <c r="A13" s="35">
        <v>558979</v>
      </c>
      <c r="B13" s="35" t="s">
        <v>150</v>
      </c>
      <c r="C13" s="35" t="s">
        <v>1525</v>
      </c>
      <c r="D13" s="35" t="s">
        <v>1526</v>
      </c>
      <c r="E13" s="35">
        <v>125</v>
      </c>
      <c r="F13" s="34">
        <v>43423</v>
      </c>
    </row>
    <row r="14" spans="1:6" ht="15.75" x14ac:dyDescent="0.25">
      <c r="A14" s="35">
        <v>558979</v>
      </c>
      <c r="B14" s="35" t="s">
        <v>150</v>
      </c>
      <c r="C14" s="35" t="s">
        <v>1527</v>
      </c>
      <c r="D14" s="35" t="s">
        <v>1528</v>
      </c>
      <c r="E14" s="35">
        <v>125</v>
      </c>
      <c r="F14" s="34">
        <v>43423</v>
      </c>
    </row>
    <row r="15" spans="1:6" ht="15.75" x14ac:dyDescent="0.25">
      <c r="A15" s="35">
        <v>558979</v>
      </c>
      <c r="B15" s="35" t="s">
        <v>150</v>
      </c>
      <c r="C15" s="35" t="s">
        <v>1529</v>
      </c>
      <c r="D15" s="35" t="s">
        <v>1530</v>
      </c>
      <c r="E15" s="35">
        <v>125</v>
      </c>
      <c r="F15" s="34">
        <v>43423</v>
      </c>
    </row>
    <row r="16" spans="1:6" ht="15.75" x14ac:dyDescent="0.25">
      <c r="A16" s="35">
        <v>558979</v>
      </c>
      <c r="B16" s="35" t="s">
        <v>150</v>
      </c>
      <c r="C16" s="35" t="s">
        <v>1531</v>
      </c>
      <c r="D16" s="35" t="s">
        <v>1532</v>
      </c>
      <c r="E16" s="35">
        <v>125</v>
      </c>
      <c r="F16" s="34">
        <v>43423</v>
      </c>
    </row>
    <row r="17" spans="1:6" ht="15.75" x14ac:dyDescent="0.25">
      <c r="A17" s="35">
        <v>558979</v>
      </c>
      <c r="B17" s="35" t="s">
        <v>150</v>
      </c>
      <c r="C17" s="35" t="s">
        <v>1533</v>
      </c>
      <c r="D17" s="35" t="s">
        <v>1534</v>
      </c>
      <c r="E17" s="35">
        <v>125</v>
      </c>
      <c r="F17" s="34">
        <v>43423</v>
      </c>
    </row>
    <row r="18" spans="1:6" ht="15.75" x14ac:dyDescent="0.25">
      <c r="A18" s="35">
        <v>558979</v>
      </c>
      <c r="B18" s="35" t="s">
        <v>150</v>
      </c>
      <c r="C18" s="35" t="s">
        <v>1496</v>
      </c>
      <c r="D18" s="35" t="s">
        <v>1535</v>
      </c>
      <c r="E18" s="35">
        <v>125</v>
      </c>
      <c r="F18" s="34">
        <v>43423</v>
      </c>
    </row>
    <row r="19" spans="1:6" ht="15.75" x14ac:dyDescent="0.25">
      <c r="A19" s="35">
        <v>558979</v>
      </c>
      <c r="B19" s="35" t="s">
        <v>150</v>
      </c>
      <c r="C19" s="35" t="s">
        <v>1536</v>
      </c>
      <c r="D19" s="35" t="s">
        <v>1537</v>
      </c>
      <c r="E19" s="35">
        <v>125</v>
      </c>
      <c r="F19" s="34">
        <v>43423</v>
      </c>
    </row>
    <row r="20" spans="1:6" ht="15.75" x14ac:dyDescent="0.25">
      <c r="A20" s="35">
        <v>558979</v>
      </c>
      <c r="B20" s="35" t="s">
        <v>150</v>
      </c>
      <c r="C20" s="35" t="s">
        <v>1538</v>
      </c>
      <c r="D20" s="35" t="s">
        <v>1539</v>
      </c>
      <c r="E20" s="35">
        <v>125</v>
      </c>
      <c r="F20" s="34">
        <v>43423</v>
      </c>
    </row>
    <row r="21" spans="1:6" ht="15.75" x14ac:dyDescent="0.25">
      <c r="A21" s="35">
        <v>558979</v>
      </c>
      <c r="B21" s="35" t="s">
        <v>150</v>
      </c>
      <c r="C21" s="35" t="s">
        <v>1540</v>
      </c>
      <c r="D21" s="35" t="s">
        <v>1541</v>
      </c>
      <c r="E21" s="35">
        <v>125</v>
      </c>
      <c r="F21" s="34">
        <v>43423</v>
      </c>
    </row>
    <row r="22" spans="1:6" ht="15.75" x14ac:dyDescent="0.25">
      <c r="A22" s="35">
        <v>558979</v>
      </c>
      <c r="B22" s="35" t="s">
        <v>150</v>
      </c>
      <c r="C22" s="35" t="s">
        <v>1542</v>
      </c>
      <c r="D22" s="35" t="s">
        <v>1543</v>
      </c>
      <c r="E22" s="35">
        <v>125</v>
      </c>
      <c r="F22" s="34">
        <v>43423</v>
      </c>
    </row>
    <row r="23" spans="1:6" ht="15.75" x14ac:dyDescent="0.25">
      <c r="A23" s="35">
        <v>558979</v>
      </c>
      <c r="B23" s="35" t="s">
        <v>150</v>
      </c>
      <c r="C23" s="35" t="s">
        <v>1216</v>
      </c>
      <c r="D23" s="35" t="s">
        <v>1544</v>
      </c>
      <c r="E23" s="35">
        <v>125</v>
      </c>
      <c r="F23" s="34">
        <v>43423</v>
      </c>
    </row>
    <row r="24" spans="1:6" ht="15.75" x14ac:dyDescent="0.25">
      <c r="A24" s="35">
        <v>558979</v>
      </c>
      <c r="B24" s="35" t="s">
        <v>150</v>
      </c>
      <c r="C24" s="35" t="s">
        <v>1545</v>
      </c>
      <c r="D24" s="35" t="s">
        <v>1546</v>
      </c>
      <c r="E24" s="35">
        <v>125</v>
      </c>
      <c r="F24" s="34">
        <v>43423</v>
      </c>
    </row>
    <row r="25" spans="1:6" ht="15.75" x14ac:dyDescent="0.25">
      <c r="A25" s="35">
        <v>587890</v>
      </c>
      <c r="B25" s="35" t="s">
        <v>32</v>
      </c>
      <c r="C25" s="35" t="s">
        <v>348</v>
      </c>
      <c r="D25" s="35" t="s">
        <v>1547</v>
      </c>
      <c r="E25" s="35">
        <v>141.44</v>
      </c>
      <c r="F25" s="34">
        <v>43423</v>
      </c>
    </row>
    <row r="26" spans="1:6" ht="15.75" x14ac:dyDescent="0.25">
      <c r="A26" s="35">
        <v>558979</v>
      </c>
      <c r="B26" s="35" t="s">
        <v>150</v>
      </c>
      <c r="C26" s="35" t="s">
        <v>927</v>
      </c>
      <c r="D26" s="35" t="s">
        <v>1548</v>
      </c>
      <c r="E26" s="35">
        <v>200</v>
      </c>
      <c r="F26" s="34">
        <v>43423</v>
      </c>
    </row>
    <row r="27" spans="1:6" ht="15.75" x14ac:dyDescent="0.25">
      <c r="A27" s="35">
        <v>558979</v>
      </c>
      <c r="B27" s="35" t="s">
        <v>150</v>
      </c>
      <c r="C27" s="35" t="s">
        <v>1001</v>
      </c>
      <c r="D27" s="35" t="s">
        <v>1549</v>
      </c>
      <c r="E27" s="35">
        <v>200</v>
      </c>
      <c r="F27" s="34">
        <v>43423</v>
      </c>
    </row>
    <row r="28" spans="1:6" ht="15.75" x14ac:dyDescent="0.25">
      <c r="A28" s="35">
        <v>558979</v>
      </c>
      <c r="B28" s="35" t="s">
        <v>150</v>
      </c>
      <c r="C28" s="35" t="s">
        <v>1410</v>
      </c>
      <c r="D28" s="35" t="s">
        <v>1550</v>
      </c>
      <c r="E28" s="35">
        <v>200</v>
      </c>
      <c r="F28" s="34">
        <v>43423</v>
      </c>
    </row>
    <row r="29" spans="1:6" ht="15.75" x14ac:dyDescent="0.25">
      <c r="A29" s="35">
        <v>558979</v>
      </c>
      <c r="B29" s="35" t="s">
        <v>150</v>
      </c>
      <c r="C29" s="35" t="s">
        <v>1415</v>
      </c>
      <c r="D29" s="35" t="s">
        <v>1551</v>
      </c>
      <c r="E29" s="35">
        <v>200</v>
      </c>
      <c r="F29" s="34">
        <v>43423</v>
      </c>
    </row>
    <row r="30" spans="1:6" ht="15.75" x14ac:dyDescent="0.25">
      <c r="A30" s="35">
        <v>558979</v>
      </c>
      <c r="B30" s="35" t="s">
        <v>150</v>
      </c>
      <c r="C30" s="35" t="s">
        <v>785</v>
      </c>
      <c r="D30" s="35" t="s">
        <v>1552</v>
      </c>
      <c r="E30" s="35">
        <v>200</v>
      </c>
      <c r="F30" s="34">
        <v>43423</v>
      </c>
    </row>
    <row r="31" spans="1:6" ht="15.75" x14ac:dyDescent="0.25">
      <c r="A31" s="35">
        <v>558979</v>
      </c>
      <c r="B31" s="35" t="s">
        <v>150</v>
      </c>
      <c r="C31" s="35" t="s">
        <v>1062</v>
      </c>
      <c r="D31" s="35" t="s">
        <v>1553</v>
      </c>
      <c r="E31" s="35">
        <v>200</v>
      </c>
      <c r="F31" s="34">
        <v>43423</v>
      </c>
    </row>
    <row r="32" spans="1:6" ht="15.75" x14ac:dyDescent="0.25">
      <c r="A32" s="35">
        <v>558979</v>
      </c>
      <c r="B32" s="35" t="s">
        <v>150</v>
      </c>
      <c r="C32" s="35" t="s">
        <v>1029</v>
      </c>
      <c r="D32" s="35" t="s">
        <v>1554</v>
      </c>
      <c r="E32" s="35">
        <v>225</v>
      </c>
      <c r="F32" s="34">
        <v>43423</v>
      </c>
    </row>
    <row r="33" spans="1:6" ht="15.75" x14ac:dyDescent="0.25">
      <c r="A33" s="35">
        <v>558979</v>
      </c>
      <c r="B33" s="35" t="s">
        <v>150</v>
      </c>
      <c r="C33" s="35" t="s">
        <v>789</v>
      </c>
      <c r="D33" s="35" t="s">
        <v>1555</v>
      </c>
      <c r="E33" s="35">
        <v>333.34</v>
      </c>
      <c r="F33" s="34">
        <v>43423</v>
      </c>
    </row>
    <row r="34" spans="1:6" ht="15.75" x14ac:dyDescent="0.25">
      <c r="A34" s="35">
        <v>587890</v>
      </c>
      <c r="B34" s="35" t="s">
        <v>32</v>
      </c>
      <c r="C34" s="35" t="s">
        <v>348</v>
      </c>
      <c r="D34" s="35" t="s">
        <v>1556</v>
      </c>
      <c r="E34" s="35">
        <v>350</v>
      </c>
      <c r="F34" s="34">
        <v>43423</v>
      </c>
    </row>
    <row r="35" spans="1:6" ht="15.75" x14ac:dyDescent="0.25">
      <c r="A35" s="35">
        <v>558979</v>
      </c>
      <c r="B35" s="35" t="s">
        <v>150</v>
      </c>
      <c r="C35" s="35" t="s">
        <v>309</v>
      </c>
      <c r="D35" s="35" t="s">
        <v>1557</v>
      </c>
      <c r="E35" s="35">
        <v>541.66999999999996</v>
      </c>
      <c r="F35" s="34">
        <v>43423</v>
      </c>
    </row>
    <row r="36" spans="1:6" ht="15.75" x14ac:dyDescent="0.25">
      <c r="A36" s="35">
        <v>587890</v>
      </c>
      <c r="B36" s="35" t="s">
        <v>32</v>
      </c>
      <c r="C36" s="35" t="s">
        <v>348</v>
      </c>
      <c r="D36" s="35" t="s">
        <v>1558</v>
      </c>
      <c r="E36" s="35">
        <v>559.6</v>
      </c>
      <c r="F36" s="34">
        <v>43423</v>
      </c>
    </row>
    <row r="37" spans="1:6" ht="15.75" x14ac:dyDescent="0.25">
      <c r="A37" s="35">
        <v>526712</v>
      </c>
      <c r="B37" s="35" t="s">
        <v>14</v>
      </c>
      <c r="C37" s="35" t="s">
        <v>1029</v>
      </c>
      <c r="D37" s="35" t="s">
        <v>1559</v>
      </c>
      <c r="E37" s="35">
        <v>133.97999999999999</v>
      </c>
      <c r="F37" s="34">
        <v>43425</v>
      </c>
    </row>
    <row r="38" spans="1:6" ht="15.75" x14ac:dyDescent="0.25">
      <c r="A38" s="35">
        <v>526712</v>
      </c>
      <c r="B38" s="35" t="s">
        <v>14</v>
      </c>
      <c r="C38" s="35" t="s">
        <v>789</v>
      </c>
      <c r="D38" s="35" t="s">
        <v>1560</v>
      </c>
      <c r="E38" s="35">
        <v>133.97999999999999</v>
      </c>
      <c r="F38" s="34">
        <v>43425</v>
      </c>
    </row>
    <row r="39" spans="1:6" ht="15.75" x14ac:dyDescent="0.25">
      <c r="A39" s="35">
        <v>527120</v>
      </c>
      <c r="B39" s="35" t="s">
        <v>143</v>
      </c>
      <c r="C39" s="35" t="s">
        <v>144</v>
      </c>
      <c r="D39" s="35" t="s">
        <v>1561</v>
      </c>
      <c r="E39" s="35">
        <v>14.5</v>
      </c>
      <c r="F39" s="34">
        <v>43432</v>
      </c>
    </row>
    <row r="40" spans="1:6" ht="15.75" x14ac:dyDescent="0.25">
      <c r="A40" s="35">
        <v>527120</v>
      </c>
      <c r="B40" s="35" t="s">
        <v>143</v>
      </c>
      <c r="C40" s="35" t="s">
        <v>144</v>
      </c>
      <c r="D40" s="35" t="s">
        <v>1561</v>
      </c>
      <c r="E40" s="35">
        <v>14.5</v>
      </c>
      <c r="F40" s="34">
        <v>43432</v>
      </c>
    </row>
    <row r="41" spans="1:6" ht="15.75" x14ac:dyDescent="0.25">
      <c r="A41" s="35">
        <v>515130</v>
      </c>
      <c r="B41" s="35" t="s">
        <v>10</v>
      </c>
      <c r="C41" s="35" t="s">
        <v>7</v>
      </c>
      <c r="D41" s="35" t="s">
        <v>1562</v>
      </c>
      <c r="E41" s="35">
        <v>103.09</v>
      </c>
      <c r="F41" s="34">
        <v>43434</v>
      </c>
    </row>
    <row r="42" spans="1:6" ht="15.75" x14ac:dyDescent="0.25">
      <c r="A42" s="35">
        <v>515120</v>
      </c>
      <c r="B42" s="35" t="s">
        <v>9</v>
      </c>
      <c r="C42" s="35" t="s">
        <v>7</v>
      </c>
      <c r="D42" s="35" t="s">
        <v>1562</v>
      </c>
      <c r="E42" s="35">
        <v>440.81</v>
      </c>
      <c r="F42" s="34">
        <v>43434</v>
      </c>
    </row>
    <row r="43" spans="1:6" ht="15.75" x14ac:dyDescent="0.25">
      <c r="A43" s="35">
        <v>515420</v>
      </c>
      <c r="B43" s="35" t="s">
        <v>12</v>
      </c>
      <c r="C43" s="35" t="s">
        <v>7</v>
      </c>
      <c r="D43" s="35" t="s">
        <v>1562</v>
      </c>
      <c r="E43" s="35">
        <v>462.72</v>
      </c>
      <c r="F43" s="34">
        <v>43434</v>
      </c>
    </row>
    <row r="44" spans="1:6" ht="15.75" x14ac:dyDescent="0.25">
      <c r="A44" s="35">
        <v>515410</v>
      </c>
      <c r="B44" s="35" t="s">
        <v>11</v>
      </c>
      <c r="C44" s="35" t="s">
        <v>7</v>
      </c>
      <c r="D44" s="35" t="s">
        <v>1562</v>
      </c>
      <c r="E44" s="35">
        <v>493.76</v>
      </c>
      <c r="F44" s="34">
        <v>43434</v>
      </c>
    </row>
    <row r="45" spans="1:6" ht="15.75" x14ac:dyDescent="0.25">
      <c r="A45" s="35">
        <v>515530</v>
      </c>
      <c r="B45" s="35" t="s">
        <v>13</v>
      </c>
      <c r="C45" s="35" t="s">
        <v>7</v>
      </c>
      <c r="D45" s="35" t="s">
        <v>1562</v>
      </c>
      <c r="E45" s="35">
        <v>498.68</v>
      </c>
      <c r="F45" s="34">
        <v>43434</v>
      </c>
    </row>
    <row r="46" spans="1:6" ht="15.75" x14ac:dyDescent="0.25">
      <c r="A46" s="35">
        <v>511120</v>
      </c>
      <c r="B46" s="35" t="s">
        <v>6</v>
      </c>
      <c r="C46" s="35" t="s">
        <v>7</v>
      </c>
      <c r="D46" s="35" t="s">
        <v>1562</v>
      </c>
      <c r="E46" s="35">
        <v>641.64</v>
      </c>
      <c r="F46" s="34">
        <v>43434</v>
      </c>
    </row>
    <row r="47" spans="1:6" ht="15.75" x14ac:dyDescent="0.25">
      <c r="A47" s="35">
        <v>511120</v>
      </c>
      <c r="B47" s="35" t="s">
        <v>6</v>
      </c>
      <c r="C47" s="35" t="s">
        <v>7</v>
      </c>
      <c r="D47" s="35" t="s">
        <v>1562</v>
      </c>
      <c r="E47" s="35">
        <v>6577.08</v>
      </c>
      <c r="F47" s="34">
        <v>43434</v>
      </c>
    </row>
  </sheetData>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B67EB-DDA5-4D27-98BC-95E3A9E7BB42}">
  <dimension ref="A1:F59"/>
  <sheetViews>
    <sheetView topLeftCell="A4" workbookViewId="0">
      <selection activeCell="B17" sqref="B17"/>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558921</v>
      </c>
      <c r="B2" s="35" t="s">
        <v>262</v>
      </c>
      <c r="C2" s="35" t="s">
        <v>1158</v>
      </c>
      <c r="D2" s="35" t="s">
        <v>1457</v>
      </c>
      <c r="E2" s="35">
        <v>47.65</v>
      </c>
      <c r="F2" s="34">
        <v>43374</v>
      </c>
    </row>
    <row r="3" spans="1:6" ht="15.75" x14ac:dyDescent="0.25">
      <c r="A3" s="35">
        <v>526741</v>
      </c>
      <c r="B3" s="35" t="s">
        <v>23</v>
      </c>
      <c r="C3" s="35" t="s">
        <v>812</v>
      </c>
      <c r="D3" s="35" t="s">
        <v>1458</v>
      </c>
      <c r="E3" s="35">
        <v>1356.8</v>
      </c>
      <c r="F3" s="34">
        <v>43374</v>
      </c>
    </row>
    <row r="4" spans="1:6" ht="15.75" x14ac:dyDescent="0.25">
      <c r="A4" s="35">
        <v>487110</v>
      </c>
      <c r="B4" s="35" t="s">
        <v>36</v>
      </c>
      <c r="C4" s="35" t="s">
        <v>1459</v>
      </c>
      <c r="D4" s="35" t="s">
        <v>1460</v>
      </c>
      <c r="E4" s="35">
        <v>2719</v>
      </c>
      <c r="F4" s="34">
        <v>43374</v>
      </c>
    </row>
    <row r="5" spans="1:6" ht="15.75" x14ac:dyDescent="0.25">
      <c r="A5" s="35">
        <v>487110</v>
      </c>
      <c r="B5" s="35" t="s">
        <v>36</v>
      </c>
      <c r="C5" s="35" t="s">
        <v>1461</v>
      </c>
      <c r="D5" s="35" t="s">
        <v>1462</v>
      </c>
      <c r="E5" s="35">
        <v>12577.12</v>
      </c>
      <c r="F5" s="34">
        <v>43374</v>
      </c>
    </row>
    <row r="6" spans="1:6" ht="15.75" x14ac:dyDescent="0.25">
      <c r="A6" s="35">
        <v>487110</v>
      </c>
      <c r="B6" s="35" t="s">
        <v>36</v>
      </c>
      <c r="C6" s="35" t="s">
        <v>1463</v>
      </c>
      <c r="D6" s="35" t="s">
        <v>1464</v>
      </c>
      <c r="E6" s="35">
        <v>13882.88</v>
      </c>
      <c r="F6" s="34">
        <v>43378</v>
      </c>
    </row>
    <row r="7" spans="1:6" ht="15.75" x14ac:dyDescent="0.25">
      <c r="A7" s="35">
        <v>531110</v>
      </c>
      <c r="B7" s="35" t="s">
        <v>27</v>
      </c>
      <c r="C7" s="35" t="s">
        <v>28</v>
      </c>
      <c r="D7" s="35">
        <v>2000004850</v>
      </c>
      <c r="E7" s="35">
        <v>0</v>
      </c>
      <c r="F7" s="34">
        <v>43379</v>
      </c>
    </row>
    <row r="8" spans="1:6" ht="15.75" x14ac:dyDescent="0.25">
      <c r="A8" s="35">
        <v>531110</v>
      </c>
      <c r="B8" s="35" t="s">
        <v>27</v>
      </c>
      <c r="C8" s="35"/>
      <c r="D8" s="35">
        <v>1000005545</v>
      </c>
      <c r="E8" s="35">
        <v>0</v>
      </c>
      <c r="F8" s="34">
        <v>43379</v>
      </c>
    </row>
    <row r="9" spans="1:6" ht="15.75" x14ac:dyDescent="0.25">
      <c r="A9" s="35">
        <v>531110</v>
      </c>
      <c r="B9" s="35" t="s">
        <v>27</v>
      </c>
      <c r="C9" s="35" t="s">
        <v>28</v>
      </c>
      <c r="D9" s="35">
        <v>2000004850</v>
      </c>
      <c r="E9" s="35">
        <v>110.4</v>
      </c>
      <c r="F9" s="34">
        <v>43379</v>
      </c>
    </row>
    <row r="10" spans="1:6" ht="15.75" x14ac:dyDescent="0.25">
      <c r="A10" s="35">
        <v>531110</v>
      </c>
      <c r="B10" s="35" t="s">
        <v>27</v>
      </c>
      <c r="C10" s="35"/>
      <c r="D10" s="35">
        <v>1000005545</v>
      </c>
      <c r="E10" s="35">
        <v>110.4</v>
      </c>
      <c r="F10" s="34">
        <v>43379</v>
      </c>
    </row>
    <row r="11" spans="1:6" ht="15.75" x14ac:dyDescent="0.25">
      <c r="A11" s="35">
        <v>487110</v>
      </c>
      <c r="B11" s="35" t="s">
        <v>36</v>
      </c>
      <c r="C11" s="35" t="s">
        <v>1465</v>
      </c>
      <c r="D11" s="35" t="s">
        <v>1466</v>
      </c>
      <c r="E11" s="35">
        <v>441.38</v>
      </c>
      <c r="F11" s="34">
        <v>43383</v>
      </c>
    </row>
    <row r="12" spans="1:6" ht="15.75" x14ac:dyDescent="0.25">
      <c r="A12" s="35">
        <v>487110</v>
      </c>
      <c r="B12" s="35" t="s">
        <v>36</v>
      </c>
      <c r="C12" s="35" t="s">
        <v>1467</v>
      </c>
      <c r="D12" s="35" t="s">
        <v>1466</v>
      </c>
      <c r="E12" s="35">
        <v>2436.33</v>
      </c>
      <c r="F12" s="34">
        <v>43383</v>
      </c>
    </row>
    <row r="13" spans="1:6" ht="15.75" x14ac:dyDescent="0.25">
      <c r="A13" s="35">
        <v>487110</v>
      </c>
      <c r="B13" s="35" t="s">
        <v>36</v>
      </c>
      <c r="C13" s="35" t="s">
        <v>1468</v>
      </c>
      <c r="D13" s="35" t="s">
        <v>1469</v>
      </c>
      <c r="E13" s="35">
        <v>860</v>
      </c>
      <c r="F13" s="34">
        <v>43388</v>
      </c>
    </row>
    <row r="14" spans="1:6" ht="15.75" x14ac:dyDescent="0.25">
      <c r="A14" s="35">
        <v>487110</v>
      </c>
      <c r="B14" s="35" t="s">
        <v>36</v>
      </c>
      <c r="C14" s="35" t="s">
        <v>1470</v>
      </c>
      <c r="D14" s="35" t="s">
        <v>1469</v>
      </c>
      <c r="E14" s="35">
        <v>5684.23</v>
      </c>
      <c r="F14" s="34">
        <v>43388</v>
      </c>
    </row>
    <row r="15" spans="1:6" ht="15.75" x14ac:dyDescent="0.25">
      <c r="A15" s="35">
        <v>531110</v>
      </c>
      <c r="B15" s="35" t="s">
        <v>27</v>
      </c>
      <c r="C15" s="35" t="s">
        <v>1158</v>
      </c>
      <c r="D15" s="35" t="s">
        <v>1471</v>
      </c>
      <c r="E15" s="35">
        <v>46.6</v>
      </c>
      <c r="F15" s="34">
        <v>43390</v>
      </c>
    </row>
    <row r="16" spans="1:6" ht="15.75" x14ac:dyDescent="0.25">
      <c r="A16" s="35">
        <v>526712</v>
      </c>
      <c r="B16" s="35" t="s">
        <v>14</v>
      </c>
      <c r="C16" s="35" t="s">
        <v>1415</v>
      </c>
      <c r="D16" s="35" t="s">
        <v>1472</v>
      </c>
      <c r="E16" s="35">
        <v>60.72</v>
      </c>
      <c r="F16" s="34">
        <v>43390</v>
      </c>
    </row>
    <row r="17" spans="1:6" ht="15.75" x14ac:dyDescent="0.25">
      <c r="A17" s="35">
        <v>526712</v>
      </c>
      <c r="B17" s="35" t="s">
        <v>14</v>
      </c>
      <c r="C17" s="35" t="s">
        <v>1431</v>
      </c>
      <c r="D17" s="35" t="s">
        <v>1473</v>
      </c>
      <c r="E17" s="35">
        <v>111.54</v>
      </c>
      <c r="F17" s="34">
        <v>43390</v>
      </c>
    </row>
    <row r="18" spans="1:6" ht="15.75" x14ac:dyDescent="0.25">
      <c r="A18" s="35">
        <v>526712</v>
      </c>
      <c r="B18" s="35" t="s">
        <v>14</v>
      </c>
      <c r="C18" s="35" t="s">
        <v>1412</v>
      </c>
      <c r="D18" s="35" t="s">
        <v>1474</v>
      </c>
      <c r="E18" s="35">
        <v>126.06</v>
      </c>
      <c r="F18" s="34">
        <v>43390</v>
      </c>
    </row>
    <row r="19" spans="1:6" ht="15.75" x14ac:dyDescent="0.25">
      <c r="A19" s="35">
        <v>526712</v>
      </c>
      <c r="B19" s="35" t="s">
        <v>14</v>
      </c>
      <c r="C19" s="35" t="s">
        <v>309</v>
      </c>
      <c r="D19" s="35" t="s">
        <v>1475</v>
      </c>
      <c r="E19" s="35">
        <v>126.06</v>
      </c>
      <c r="F19" s="34">
        <v>43390</v>
      </c>
    </row>
    <row r="20" spans="1:6" ht="15.75" x14ac:dyDescent="0.25">
      <c r="A20" s="35">
        <v>526712</v>
      </c>
      <c r="B20" s="35" t="s">
        <v>14</v>
      </c>
      <c r="C20" s="35" t="s">
        <v>785</v>
      </c>
      <c r="D20" s="35" t="s">
        <v>1476</v>
      </c>
      <c r="E20" s="35">
        <v>139.91999999999999</v>
      </c>
      <c r="F20" s="34">
        <v>43390</v>
      </c>
    </row>
    <row r="21" spans="1:6" ht="15.75" x14ac:dyDescent="0.25">
      <c r="A21" s="35">
        <v>526712</v>
      </c>
      <c r="B21" s="35" t="s">
        <v>14</v>
      </c>
      <c r="C21" s="35" t="s">
        <v>1001</v>
      </c>
      <c r="D21" s="35" t="s">
        <v>1477</v>
      </c>
      <c r="E21" s="35">
        <v>178.86</v>
      </c>
      <c r="F21" s="34">
        <v>43390</v>
      </c>
    </row>
    <row r="22" spans="1:6" ht="15.75" x14ac:dyDescent="0.25">
      <c r="A22" s="35">
        <v>587890</v>
      </c>
      <c r="B22" s="35" t="s">
        <v>32</v>
      </c>
      <c r="C22" s="35" t="s">
        <v>348</v>
      </c>
      <c r="D22" s="35" t="s">
        <v>1478</v>
      </c>
      <c r="E22" s="35">
        <v>200</v>
      </c>
      <c r="F22" s="34">
        <v>43390</v>
      </c>
    </row>
    <row r="23" spans="1:6" ht="15.75" x14ac:dyDescent="0.25">
      <c r="A23" s="35">
        <v>526712</v>
      </c>
      <c r="B23" s="35" t="s">
        <v>14</v>
      </c>
      <c r="C23" s="35" t="s">
        <v>927</v>
      </c>
      <c r="D23" s="35" t="s">
        <v>1479</v>
      </c>
      <c r="E23" s="35">
        <v>212.52</v>
      </c>
      <c r="F23" s="34">
        <v>43390</v>
      </c>
    </row>
    <row r="24" spans="1:6" ht="15.75" x14ac:dyDescent="0.25">
      <c r="A24" s="35">
        <v>526712</v>
      </c>
      <c r="B24" s="35" t="s">
        <v>14</v>
      </c>
      <c r="C24" s="35" t="s">
        <v>789</v>
      </c>
      <c r="D24" s="35" t="s">
        <v>1480</v>
      </c>
      <c r="E24" s="35">
        <v>234.3</v>
      </c>
      <c r="F24" s="34">
        <v>43390</v>
      </c>
    </row>
    <row r="25" spans="1:6" ht="15.75" x14ac:dyDescent="0.25">
      <c r="A25" s="35">
        <v>526712</v>
      </c>
      <c r="B25" s="35" t="s">
        <v>14</v>
      </c>
      <c r="C25" s="35" t="s">
        <v>961</v>
      </c>
      <c r="D25" s="35" t="s">
        <v>1481</v>
      </c>
      <c r="E25" s="35">
        <v>304.92</v>
      </c>
      <c r="F25" s="34">
        <v>43390</v>
      </c>
    </row>
    <row r="26" spans="1:6" ht="15.75" x14ac:dyDescent="0.25">
      <c r="A26" s="35">
        <v>487110</v>
      </c>
      <c r="B26" s="35" t="s">
        <v>36</v>
      </c>
      <c r="C26" s="35" t="s">
        <v>1482</v>
      </c>
      <c r="D26" s="35" t="s">
        <v>1483</v>
      </c>
      <c r="E26" s="35">
        <v>1038</v>
      </c>
      <c r="F26" s="34">
        <v>43390</v>
      </c>
    </row>
    <row r="27" spans="1:6" ht="15.75" x14ac:dyDescent="0.25">
      <c r="A27" s="35">
        <v>487110</v>
      </c>
      <c r="B27" s="35" t="s">
        <v>36</v>
      </c>
      <c r="C27" s="35" t="s">
        <v>1484</v>
      </c>
      <c r="D27" s="35" t="s">
        <v>1485</v>
      </c>
      <c r="E27" s="35">
        <v>5116.01</v>
      </c>
      <c r="F27" s="34">
        <v>43390</v>
      </c>
    </row>
    <row r="28" spans="1:6" ht="15.75" x14ac:dyDescent="0.25">
      <c r="A28" s="35">
        <v>526712</v>
      </c>
      <c r="B28" s="35" t="s">
        <v>14</v>
      </c>
      <c r="C28" s="35" t="s">
        <v>1486</v>
      </c>
      <c r="D28" s="35" t="s">
        <v>1487</v>
      </c>
      <c r="E28" s="35">
        <v>60.72</v>
      </c>
      <c r="F28" s="34">
        <v>43391</v>
      </c>
    </row>
    <row r="29" spans="1:6" ht="15.75" x14ac:dyDescent="0.25">
      <c r="A29" s="35">
        <v>526712</v>
      </c>
      <c r="B29" s="35" t="s">
        <v>14</v>
      </c>
      <c r="C29" s="35" t="s">
        <v>1488</v>
      </c>
      <c r="D29" s="35" t="s">
        <v>1489</v>
      </c>
      <c r="E29" s="35">
        <v>126.06</v>
      </c>
      <c r="F29" s="34">
        <v>43391</v>
      </c>
    </row>
    <row r="30" spans="1:6" ht="15.75" x14ac:dyDescent="0.25">
      <c r="A30" s="35">
        <v>526712</v>
      </c>
      <c r="B30" s="35" t="s">
        <v>14</v>
      </c>
      <c r="C30" s="35" t="s">
        <v>1490</v>
      </c>
      <c r="D30" s="35" t="s">
        <v>1491</v>
      </c>
      <c r="E30" s="35">
        <v>139.91999999999999</v>
      </c>
      <c r="F30" s="34">
        <v>43391</v>
      </c>
    </row>
    <row r="31" spans="1:6" ht="15.75" x14ac:dyDescent="0.25">
      <c r="A31" s="35">
        <v>526712</v>
      </c>
      <c r="B31" s="35" t="s">
        <v>14</v>
      </c>
      <c r="C31" s="35" t="s">
        <v>21</v>
      </c>
      <c r="D31" s="35" t="s">
        <v>1492</v>
      </c>
      <c r="E31" s="35">
        <v>160.38</v>
      </c>
      <c r="F31" s="34">
        <v>43391</v>
      </c>
    </row>
    <row r="32" spans="1:6" ht="15.75" x14ac:dyDescent="0.25">
      <c r="A32" s="35">
        <v>526712</v>
      </c>
      <c r="B32" s="35" t="s">
        <v>14</v>
      </c>
      <c r="C32" s="35" t="s">
        <v>1493</v>
      </c>
      <c r="D32" s="35" t="s">
        <v>1494</v>
      </c>
      <c r="E32" s="35">
        <v>161.04</v>
      </c>
      <c r="F32" s="34">
        <v>43391</v>
      </c>
    </row>
    <row r="33" spans="1:6" ht="15.75" x14ac:dyDescent="0.25">
      <c r="A33" s="35">
        <v>526712</v>
      </c>
      <c r="B33" s="35" t="s">
        <v>14</v>
      </c>
      <c r="C33" s="35" t="s">
        <v>413</v>
      </c>
      <c r="D33" s="35" t="s">
        <v>1495</v>
      </c>
      <c r="E33" s="35">
        <v>161.69999999999999</v>
      </c>
      <c r="F33" s="34">
        <v>43391</v>
      </c>
    </row>
    <row r="34" spans="1:6" ht="15.75" x14ac:dyDescent="0.25">
      <c r="A34" s="35">
        <v>526712</v>
      </c>
      <c r="B34" s="35" t="s">
        <v>14</v>
      </c>
      <c r="C34" s="35" t="s">
        <v>1496</v>
      </c>
      <c r="D34" s="35" t="s">
        <v>1497</v>
      </c>
      <c r="E34" s="35">
        <v>177.54</v>
      </c>
      <c r="F34" s="34">
        <v>43391</v>
      </c>
    </row>
    <row r="35" spans="1:6" ht="15.75" x14ac:dyDescent="0.25">
      <c r="A35" s="35">
        <v>526712</v>
      </c>
      <c r="B35" s="35" t="s">
        <v>14</v>
      </c>
      <c r="C35" s="35" t="s">
        <v>1029</v>
      </c>
      <c r="D35" s="35" t="s">
        <v>1498</v>
      </c>
      <c r="E35" s="35">
        <v>234.3</v>
      </c>
      <c r="F35" s="34">
        <v>43391</v>
      </c>
    </row>
    <row r="36" spans="1:6" ht="15.75" x14ac:dyDescent="0.25">
      <c r="A36" s="35">
        <v>558979</v>
      </c>
      <c r="B36" s="35" t="s">
        <v>150</v>
      </c>
      <c r="C36" s="35" t="s">
        <v>1062</v>
      </c>
      <c r="D36" s="35" t="s">
        <v>1499</v>
      </c>
      <c r="E36" s="35">
        <v>200</v>
      </c>
      <c r="F36" s="34">
        <v>43392</v>
      </c>
    </row>
    <row r="37" spans="1:6" ht="15.75" x14ac:dyDescent="0.25">
      <c r="A37" s="35">
        <v>558979</v>
      </c>
      <c r="B37" s="35" t="s">
        <v>150</v>
      </c>
      <c r="C37" s="35" t="s">
        <v>785</v>
      </c>
      <c r="D37" s="35" t="s">
        <v>1500</v>
      </c>
      <c r="E37" s="35">
        <v>200</v>
      </c>
      <c r="F37" s="34">
        <v>43392</v>
      </c>
    </row>
    <row r="38" spans="1:6" ht="15.75" x14ac:dyDescent="0.25">
      <c r="A38" s="35">
        <v>558979</v>
      </c>
      <c r="B38" s="35" t="s">
        <v>150</v>
      </c>
      <c r="C38" s="35" t="s">
        <v>927</v>
      </c>
      <c r="D38" s="35" t="s">
        <v>1501</v>
      </c>
      <c r="E38" s="35">
        <v>200</v>
      </c>
      <c r="F38" s="34">
        <v>43392</v>
      </c>
    </row>
    <row r="39" spans="1:6" ht="15.75" x14ac:dyDescent="0.25">
      <c r="A39" s="35">
        <v>558979</v>
      </c>
      <c r="B39" s="35" t="s">
        <v>150</v>
      </c>
      <c r="C39" s="35" t="s">
        <v>1410</v>
      </c>
      <c r="D39" s="35" t="s">
        <v>1502</v>
      </c>
      <c r="E39" s="35">
        <v>200</v>
      </c>
      <c r="F39" s="34">
        <v>43392</v>
      </c>
    </row>
    <row r="40" spans="1:6" ht="15.75" x14ac:dyDescent="0.25">
      <c r="A40" s="35">
        <v>558979</v>
      </c>
      <c r="B40" s="35" t="s">
        <v>150</v>
      </c>
      <c r="C40" s="35" t="s">
        <v>1415</v>
      </c>
      <c r="D40" s="35" t="s">
        <v>1503</v>
      </c>
      <c r="E40" s="35">
        <v>200</v>
      </c>
      <c r="F40" s="34">
        <v>43392</v>
      </c>
    </row>
    <row r="41" spans="1:6" ht="15.75" x14ac:dyDescent="0.25">
      <c r="A41" s="35">
        <v>558979</v>
      </c>
      <c r="B41" s="35" t="s">
        <v>150</v>
      </c>
      <c r="C41" s="35" t="s">
        <v>1001</v>
      </c>
      <c r="D41" s="35" t="s">
        <v>1504</v>
      </c>
      <c r="E41" s="35">
        <v>200</v>
      </c>
      <c r="F41" s="34">
        <v>43392</v>
      </c>
    </row>
    <row r="42" spans="1:6" ht="15.75" x14ac:dyDescent="0.25">
      <c r="A42" s="35">
        <v>558979</v>
      </c>
      <c r="B42" s="35" t="s">
        <v>150</v>
      </c>
      <c r="C42" s="35" t="s">
        <v>1029</v>
      </c>
      <c r="D42" s="35" t="s">
        <v>1505</v>
      </c>
      <c r="E42" s="35">
        <v>225</v>
      </c>
      <c r="F42" s="34">
        <v>43392</v>
      </c>
    </row>
    <row r="43" spans="1:6" ht="15.75" x14ac:dyDescent="0.25">
      <c r="A43" s="35">
        <v>558979</v>
      </c>
      <c r="B43" s="35" t="s">
        <v>150</v>
      </c>
      <c r="C43" s="35" t="s">
        <v>1029</v>
      </c>
      <c r="D43" s="35" t="s">
        <v>1505</v>
      </c>
      <c r="E43" s="35">
        <v>225</v>
      </c>
      <c r="F43" s="34">
        <v>43392</v>
      </c>
    </row>
    <row r="44" spans="1:6" ht="15.75" x14ac:dyDescent="0.25">
      <c r="A44" s="35">
        <v>558979</v>
      </c>
      <c r="B44" s="35" t="s">
        <v>150</v>
      </c>
      <c r="C44" s="35" t="s">
        <v>789</v>
      </c>
      <c r="D44" s="35" t="s">
        <v>1506</v>
      </c>
      <c r="E44" s="35">
        <v>333.34</v>
      </c>
      <c r="F44" s="34">
        <v>43392</v>
      </c>
    </row>
    <row r="45" spans="1:6" ht="15.75" x14ac:dyDescent="0.25">
      <c r="A45" s="35">
        <v>558979</v>
      </c>
      <c r="B45" s="35" t="s">
        <v>150</v>
      </c>
      <c r="C45" s="35" t="s">
        <v>309</v>
      </c>
      <c r="D45" s="35" t="s">
        <v>1507</v>
      </c>
      <c r="E45" s="35">
        <v>541.66999999999996</v>
      </c>
      <c r="F45" s="34">
        <v>43392</v>
      </c>
    </row>
    <row r="46" spans="1:6" ht="15.75" x14ac:dyDescent="0.25">
      <c r="A46" s="35">
        <v>527120</v>
      </c>
      <c r="B46" s="35" t="s">
        <v>143</v>
      </c>
      <c r="C46" s="35" t="s">
        <v>144</v>
      </c>
      <c r="D46" s="35" t="s">
        <v>1508</v>
      </c>
      <c r="E46" s="35">
        <v>14.5</v>
      </c>
      <c r="F46" s="34">
        <v>43399</v>
      </c>
    </row>
    <row r="47" spans="1:6" ht="15.75" x14ac:dyDescent="0.25">
      <c r="A47" s="35">
        <v>527120</v>
      </c>
      <c r="B47" s="35" t="s">
        <v>143</v>
      </c>
      <c r="C47" s="35" t="s">
        <v>144</v>
      </c>
      <c r="D47" s="35" t="s">
        <v>1508</v>
      </c>
      <c r="E47" s="35">
        <v>14.5</v>
      </c>
      <c r="F47" s="34">
        <v>43399</v>
      </c>
    </row>
    <row r="48" spans="1:6" ht="15.75" x14ac:dyDescent="0.25">
      <c r="A48" s="35">
        <v>527120</v>
      </c>
      <c r="B48" s="35" t="s">
        <v>143</v>
      </c>
      <c r="C48" s="35" t="s">
        <v>144</v>
      </c>
      <c r="D48" s="35" t="s">
        <v>1508</v>
      </c>
      <c r="E48" s="35">
        <v>14.5</v>
      </c>
      <c r="F48" s="34">
        <v>43399</v>
      </c>
    </row>
    <row r="49" spans="1:6" ht="15.75" x14ac:dyDescent="0.25">
      <c r="A49" s="35">
        <v>527120</v>
      </c>
      <c r="B49" s="35" t="s">
        <v>143</v>
      </c>
      <c r="C49" s="35" t="s">
        <v>144</v>
      </c>
      <c r="D49" s="35" t="s">
        <v>1508</v>
      </c>
      <c r="E49" s="35">
        <v>14.5</v>
      </c>
      <c r="F49" s="34">
        <v>43399</v>
      </c>
    </row>
    <row r="50" spans="1:6" ht="15.75" x14ac:dyDescent="0.25">
      <c r="A50" s="35">
        <v>527120</v>
      </c>
      <c r="B50" s="35" t="s">
        <v>143</v>
      </c>
      <c r="C50" s="35" t="s">
        <v>144</v>
      </c>
      <c r="D50" s="35" t="s">
        <v>1508</v>
      </c>
      <c r="E50" s="35">
        <v>14.5</v>
      </c>
      <c r="F50" s="34">
        <v>43399</v>
      </c>
    </row>
    <row r="51" spans="1:6" ht="15.75" x14ac:dyDescent="0.25">
      <c r="A51" s="35">
        <v>527120</v>
      </c>
      <c r="B51" s="35" t="s">
        <v>143</v>
      </c>
      <c r="C51" s="35" t="s">
        <v>144</v>
      </c>
      <c r="D51" s="35" t="s">
        <v>1508</v>
      </c>
      <c r="E51" s="35">
        <v>14.5</v>
      </c>
      <c r="F51" s="34">
        <v>43399</v>
      </c>
    </row>
    <row r="52" spans="1:6" ht="15.75" x14ac:dyDescent="0.25">
      <c r="A52" s="35">
        <v>527120</v>
      </c>
      <c r="B52" s="35" t="s">
        <v>143</v>
      </c>
      <c r="C52" s="35" t="s">
        <v>144</v>
      </c>
      <c r="D52" s="35" t="s">
        <v>1508</v>
      </c>
      <c r="E52" s="35">
        <v>14.5</v>
      </c>
      <c r="F52" s="34">
        <v>43399</v>
      </c>
    </row>
    <row r="53" spans="1:6" ht="15.75" x14ac:dyDescent="0.25">
      <c r="A53" s="35">
        <v>527120</v>
      </c>
      <c r="B53" s="35" t="s">
        <v>143</v>
      </c>
      <c r="C53" s="35" t="s">
        <v>144</v>
      </c>
      <c r="D53" s="35" t="s">
        <v>1508</v>
      </c>
      <c r="E53" s="35">
        <v>14.5</v>
      </c>
      <c r="F53" s="34">
        <v>43399</v>
      </c>
    </row>
    <row r="54" spans="1:6" ht="15.75" x14ac:dyDescent="0.25">
      <c r="A54" s="35">
        <v>515130</v>
      </c>
      <c r="B54" s="35" t="s">
        <v>10</v>
      </c>
      <c r="C54" s="35" t="s">
        <v>7</v>
      </c>
      <c r="D54" s="35" t="s">
        <v>1509</v>
      </c>
      <c r="E54" s="35">
        <v>120.46</v>
      </c>
      <c r="F54" s="34">
        <v>43404</v>
      </c>
    </row>
    <row r="55" spans="1:6" ht="15.75" x14ac:dyDescent="0.25">
      <c r="A55" s="35">
        <v>515420</v>
      </c>
      <c r="B55" s="35" t="s">
        <v>12</v>
      </c>
      <c r="C55" s="35" t="s">
        <v>7</v>
      </c>
      <c r="D55" s="35" t="s">
        <v>1509</v>
      </c>
      <c r="E55" s="35">
        <v>411.31</v>
      </c>
      <c r="F55" s="34">
        <v>43404</v>
      </c>
    </row>
    <row r="56" spans="1:6" ht="15.75" x14ac:dyDescent="0.25">
      <c r="A56" s="35">
        <v>515410</v>
      </c>
      <c r="B56" s="35" t="s">
        <v>11</v>
      </c>
      <c r="C56" s="35" t="s">
        <v>7</v>
      </c>
      <c r="D56" s="35" t="s">
        <v>1509</v>
      </c>
      <c r="E56" s="35">
        <v>438.9</v>
      </c>
      <c r="F56" s="34">
        <v>43404</v>
      </c>
    </row>
    <row r="57" spans="1:6" ht="15.75" x14ac:dyDescent="0.25">
      <c r="A57" s="35">
        <v>515530</v>
      </c>
      <c r="B57" s="35" t="s">
        <v>13</v>
      </c>
      <c r="C57" s="35" t="s">
        <v>7</v>
      </c>
      <c r="D57" s="35" t="s">
        <v>1509</v>
      </c>
      <c r="E57" s="35">
        <v>498.68</v>
      </c>
      <c r="F57" s="34">
        <v>43404</v>
      </c>
    </row>
    <row r="58" spans="1:6" ht="15.75" x14ac:dyDescent="0.25">
      <c r="A58" s="35">
        <v>515120</v>
      </c>
      <c r="B58" s="35" t="s">
        <v>9</v>
      </c>
      <c r="C58" s="35" t="s">
        <v>7</v>
      </c>
      <c r="D58" s="35" t="s">
        <v>1509</v>
      </c>
      <c r="E58" s="35">
        <v>515.09</v>
      </c>
      <c r="F58" s="34">
        <v>43404</v>
      </c>
    </row>
    <row r="59" spans="1:6" ht="15.75" x14ac:dyDescent="0.25">
      <c r="A59" s="35">
        <v>511120</v>
      </c>
      <c r="B59" s="35" t="s">
        <v>6</v>
      </c>
      <c r="C59" s="35" t="s">
        <v>7</v>
      </c>
      <c r="D59" s="35" t="s">
        <v>1509</v>
      </c>
      <c r="E59" s="35">
        <v>6416.67</v>
      </c>
      <c r="F59" s="34">
        <v>43404</v>
      </c>
    </row>
  </sheetData>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2A078-9C32-4762-9CAD-E131CD5BFCC4}">
  <dimension ref="A1:F33"/>
  <sheetViews>
    <sheetView workbookViewId="0">
      <selection activeCell="C16" sqref="C16"/>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558921</v>
      </c>
      <c r="B2" s="35" t="s">
        <v>262</v>
      </c>
      <c r="C2" s="35" t="s">
        <v>1428</v>
      </c>
      <c r="D2" s="35" t="s">
        <v>1429</v>
      </c>
      <c r="E2" s="35">
        <v>151</v>
      </c>
      <c r="F2" s="34">
        <v>43344</v>
      </c>
    </row>
    <row r="3" spans="1:6" ht="15.75" x14ac:dyDescent="0.25">
      <c r="A3" s="35">
        <v>531110</v>
      </c>
      <c r="B3" s="35" t="s">
        <v>27</v>
      </c>
      <c r="C3" s="35" t="s">
        <v>28</v>
      </c>
      <c r="D3" s="35">
        <v>2000004850</v>
      </c>
      <c r="E3" s="35">
        <v>-110.4</v>
      </c>
      <c r="F3" s="34">
        <v>43347</v>
      </c>
    </row>
    <row r="4" spans="1:6" ht="15.75" x14ac:dyDescent="0.25">
      <c r="A4" s="35">
        <v>531110</v>
      </c>
      <c r="B4" s="35" t="s">
        <v>27</v>
      </c>
      <c r="C4" s="35" t="s">
        <v>28</v>
      </c>
      <c r="D4" s="35" t="s">
        <v>1430</v>
      </c>
      <c r="E4" s="35">
        <v>-110.4</v>
      </c>
      <c r="F4" s="34">
        <v>43348</v>
      </c>
    </row>
    <row r="5" spans="1:6" ht="15.75" x14ac:dyDescent="0.25">
      <c r="A5" s="35">
        <v>526742</v>
      </c>
      <c r="B5" s="35" t="s">
        <v>26</v>
      </c>
      <c r="C5" s="35" t="s">
        <v>1431</v>
      </c>
      <c r="D5" s="35" t="s">
        <v>1432</v>
      </c>
      <c r="E5" s="35">
        <v>18.899999999999999</v>
      </c>
      <c r="F5" s="34">
        <v>43348</v>
      </c>
    </row>
    <row r="6" spans="1:6" ht="15.75" x14ac:dyDescent="0.25">
      <c r="A6" s="35">
        <v>526712</v>
      </c>
      <c r="B6" s="35" t="s">
        <v>14</v>
      </c>
      <c r="C6" s="35" t="s">
        <v>1431</v>
      </c>
      <c r="D6" s="35" t="s">
        <v>1432</v>
      </c>
      <c r="E6" s="35">
        <v>27.26</v>
      </c>
      <c r="F6" s="34">
        <v>43348</v>
      </c>
    </row>
    <row r="7" spans="1:6" ht="15.75" x14ac:dyDescent="0.25">
      <c r="A7" s="35">
        <v>531110</v>
      </c>
      <c r="B7" s="35" t="s">
        <v>27</v>
      </c>
      <c r="C7" s="35" t="s">
        <v>28</v>
      </c>
      <c r="D7" s="35" t="s">
        <v>1430</v>
      </c>
      <c r="E7" s="35">
        <v>110.4</v>
      </c>
      <c r="F7" s="34">
        <v>43348</v>
      </c>
    </row>
    <row r="8" spans="1:6" ht="15.75" x14ac:dyDescent="0.25">
      <c r="A8" s="35">
        <v>487110</v>
      </c>
      <c r="B8" s="35" t="s">
        <v>36</v>
      </c>
      <c r="C8" s="35" t="s">
        <v>1433</v>
      </c>
      <c r="D8" s="35" t="s">
        <v>1434</v>
      </c>
      <c r="E8" s="35">
        <v>61.84</v>
      </c>
      <c r="F8" s="34">
        <v>43349</v>
      </c>
    </row>
    <row r="9" spans="1:6" ht="15.75" x14ac:dyDescent="0.25">
      <c r="A9" s="35">
        <v>487110</v>
      </c>
      <c r="B9" s="35" t="s">
        <v>36</v>
      </c>
      <c r="C9" s="35" t="s">
        <v>1435</v>
      </c>
      <c r="D9" s="35" t="s">
        <v>1434</v>
      </c>
      <c r="E9" s="35">
        <v>73.2</v>
      </c>
      <c r="F9" s="34">
        <v>43349</v>
      </c>
    </row>
    <row r="10" spans="1:6" ht="15.75" x14ac:dyDescent="0.25">
      <c r="A10" s="35">
        <v>487110</v>
      </c>
      <c r="B10" s="35" t="s">
        <v>36</v>
      </c>
      <c r="C10" s="35" t="s">
        <v>1436</v>
      </c>
      <c r="D10" s="35" t="s">
        <v>1434</v>
      </c>
      <c r="E10" s="35">
        <v>550.11</v>
      </c>
      <c r="F10" s="34">
        <v>43349</v>
      </c>
    </row>
    <row r="11" spans="1:6" ht="15.75" x14ac:dyDescent="0.25">
      <c r="A11" s="35">
        <v>487110</v>
      </c>
      <c r="B11" s="35" t="s">
        <v>36</v>
      </c>
      <c r="C11" s="35" t="s">
        <v>1437</v>
      </c>
      <c r="D11" s="35" t="s">
        <v>1434</v>
      </c>
      <c r="E11" s="35">
        <v>617.94000000000005</v>
      </c>
      <c r="F11" s="34">
        <v>43349</v>
      </c>
    </row>
    <row r="12" spans="1:6" ht="15.75" x14ac:dyDescent="0.25">
      <c r="A12" s="35">
        <v>526741</v>
      </c>
      <c r="B12" s="35" t="s">
        <v>23</v>
      </c>
      <c r="C12" s="35" t="s">
        <v>812</v>
      </c>
      <c r="D12" s="35" t="s">
        <v>1438</v>
      </c>
      <c r="E12" s="35">
        <v>424</v>
      </c>
      <c r="F12" s="34">
        <v>43350</v>
      </c>
    </row>
    <row r="13" spans="1:6" ht="15.75" x14ac:dyDescent="0.25">
      <c r="A13" s="35">
        <v>487110</v>
      </c>
      <c r="B13" s="35" t="s">
        <v>36</v>
      </c>
      <c r="C13" s="35" t="s">
        <v>1439</v>
      </c>
      <c r="D13" s="35" t="s">
        <v>1440</v>
      </c>
      <c r="E13" s="35">
        <v>3240.62</v>
      </c>
      <c r="F13" s="34">
        <v>43350</v>
      </c>
    </row>
    <row r="14" spans="1:6" ht="15.75" x14ac:dyDescent="0.25">
      <c r="A14" s="35">
        <v>558979</v>
      </c>
      <c r="B14" s="35" t="s">
        <v>150</v>
      </c>
      <c r="C14" s="35" t="s">
        <v>1062</v>
      </c>
      <c r="D14" s="35" t="s">
        <v>1441</v>
      </c>
      <c r="E14" s="35">
        <v>200</v>
      </c>
      <c r="F14" s="34">
        <v>43367</v>
      </c>
    </row>
    <row r="15" spans="1:6" ht="15.75" x14ac:dyDescent="0.25">
      <c r="A15" s="35">
        <v>558979</v>
      </c>
      <c r="B15" s="35" t="s">
        <v>150</v>
      </c>
      <c r="C15" s="35" t="s">
        <v>927</v>
      </c>
      <c r="D15" s="35" t="s">
        <v>1442</v>
      </c>
      <c r="E15" s="35">
        <v>200</v>
      </c>
      <c r="F15" s="34">
        <v>43367</v>
      </c>
    </row>
    <row r="16" spans="1:6" ht="15.75" x14ac:dyDescent="0.25">
      <c r="A16" s="35">
        <v>558979</v>
      </c>
      <c r="B16" s="35" t="s">
        <v>150</v>
      </c>
      <c r="C16" s="35" t="s">
        <v>1410</v>
      </c>
      <c r="D16" s="35" t="s">
        <v>1443</v>
      </c>
      <c r="E16" s="35">
        <v>200</v>
      </c>
      <c r="F16" s="34">
        <v>43367</v>
      </c>
    </row>
    <row r="17" spans="1:6" ht="15.75" x14ac:dyDescent="0.25">
      <c r="A17" s="35">
        <v>558979</v>
      </c>
      <c r="B17" s="35" t="s">
        <v>150</v>
      </c>
      <c r="C17" s="35" t="s">
        <v>785</v>
      </c>
      <c r="D17" s="35" t="s">
        <v>1444</v>
      </c>
      <c r="E17" s="35">
        <v>200</v>
      </c>
      <c r="F17" s="34">
        <v>43367</v>
      </c>
    </row>
    <row r="18" spans="1:6" ht="15.75" x14ac:dyDescent="0.25">
      <c r="A18" s="35">
        <v>558979</v>
      </c>
      <c r="B18" s="35" t="s">
        <v>150</v>
      </c>
      <c r="C18" s="35" t="s">
        <v>1415</v>
      </c>
      <c r="D18" s="35" t="s">
        <v>1445</v>
      </c>
      <c r="E18" s="35">
        <v>200</v>
      </c>
      <c r="F18" s="34">
        <v>43367</v>
      </c>
    </row>
    <row r="19" spans="1:6" ht="15.75" x14ac:dyDescent="0.25">
      <c r="A19" s="35">
        <v>558979</v>
      </c>
      <c r="B19" s="35" t="s">
        <v>150</v>
      </c>
      <c r="C19" s="35" t="s">
        <v>1001</v>
      </c>
      <c r="D19" s="35" t="s">
        <v>1446</v>
      </c>
      <c r="E19" s="35">
        <v>200</v>
      </c>
      <c r="F19" s="34">
        <v>43367</v>
      </c>
    </row>
    <row r="20" spans="1:6" ht="15.75" x14ac:dyDescent="0.25">
      <c r="A20" s="35">
        <v>558979</v>
      </c>
      <c r="B20" s="35" t="s">
        <v>150</v>
      </c>
      <c r="C20" s="35" t="s">
        <v>1029</v>
      </c>
      <c r="D20" s="35" t="s">
        <v>1447</v>
      </c>
      <c r="E20" s="35">
        <v>225</v>
      </c>
      <c r="F20" s="34">
        <v>43367</v>
      </c>
    </row>
    <row r="21" spans="1:6" ht="15.75" x14ac:dyDescent="0.25">
      <c r="A21" s="35">
        <v>558979</v>
      </c>
      <c r="B21" s="35" t="s">
        <v>150</v>
      </c>
      <c r="C21" s="35" t="s">
        <v>789</v>
      </c>
      <c r="D21" s="35" t="s">
        <v>1448</v>
      </c>
      <c r="E21" s="35">
        <v>333.34</v>
      </c>
      <c r="F21" s="34">
        <v>43367</v>
      </c>
    </row>
    <row r="22" spans="1:6" ht="15.75" x14ac:dyDescent="0.25">
      <c r="A22" s="35">
        <v>558979</v>
      </c>
      <c r="B22" s="35" t="s">
        <v>150</v>
      </c>
      <c r="C22" s="35" t="s">
        <v>309</v>
      </c>
      <c r="D22" s="35" t="s">
        <v>1449</v>
      </c>
      <c r="E22" s="35">
        <v>541.66999999999996</v>
      </c>
      <c r="F22" s="34">
        <v>43367</v>
      </c>
    </row>
    <row r="23" spans="1:6" ht="15.75" x14ac:dyDescent="0.25">
      <c r="A23" s="35">
        <v>527120</v>
      </c>
      <c r="B23" s="35" t="s">
        <v>143</v>
      </c>
      <c r="C23" s="35" t="s">
        <v>144</v>
      </c>
      <c r="D23" s="35" t="s">
        <v>1366</v>
      </c>
      <c r="E23" s="35">
        <v>-14.5</v>
      </c>
      <c r="F23" s="34">
        <v>43368</v>
      </c>
    </row>
    <row r="24" spans="1:6" ht="15.75" x14ac:dyDescent="0.25">
      <c r="A24" s="35">
        <v>527120</v>
      </c>
      <c r="B24" s="35" t="s">
        <v>143</v>
      </c>
      <c r="C24" s="35" t="s">
        <v>144</v>
      </c>
      <c r="D24" s="35" t="s">
        <v>1366</v>
      </c>
      <c r="E24" s="35">
        <v>-14.5</v>
      </c>
      <c r="F24" s="34">
        <v>43368</v>
      </c>
    </row>
    <row r="25" spans="1:6" ht="15.75" x14ac:dyDescent="0.25">
      <c r="A25" s="35">
        <v>487110</v>
      </c>
      <c r="B25" s="35" t="s">
        <v>36</v>
      </c>
      <c r="C25" s="35" t="s">
        <v>1450</v>
      </c>
      <c r="D25" s="35" t="s">
        <v>1451</v>
      </c>
      <c r="E25" s="35">
        <v>1725.33</v>
      </c>
      <c r="F25" s="34">
        <v>43368</v>
      </c>
    </row>
    <row r="26" spans="1:6" ht="15.75" x14ac:dyDescent="0.25">
      <c r="A26" s="35">
        <v>487110</v>
      </c>
      <c r="B26" s="35" t="s">
        <v>36</v>
      </c>
      <c r="C26" s="35" t="s">
        <v>1452</v>
      </c>
      <c r="D26" s="35" t="s">
        <v>1453</v>
      </c>
      <c r="E26" s="35">
        <v>6179.81</v>
      </c>
      <c r="F26" s="34">
        <v>43370</v>
      </c>
    </row>
    <row r="27" spans="1:6" ht="15.75" x14ac:dyDescent="0.25">
      <c r="A27" s="35">
        <v>515130</v>
      </c>
      <c r="B27" s="35" t="s">
        <v>10</v>
      </c>
      <c r="C27" s="35" t="s">
        <v>7</v>
      </c>
      <c r="D27" s="35" t="s">
        <v>1454</v>
      </c>
      <c r="E27" s="35">
        <v>91.47</v>
      </c>
      <c r="F27" s="34">
        <v>43371</v>
      </c>
    </row>
    <row r="28" spans="1:6" ht="15.75" x14ac:dyDescent="0.25">
      <c r="A28" s="35">
        <v>515120</v>
      </c>
      <c r="B28" s="35" t="s">
        <v>9</v>
      </c>
      <c r="C28" s="35" t="s">
        <v>7</v>
      </c>
      <c r="D28" s="35" t="s">
        <v>1454</v>
      </c>
      <c r="E28" s="35">
        <v>391.09</v>
      </c>
      <c r="F28" s="34">
        <v>43371</v>
      </c>
    </row>
    <row r="29" spans="1:6" ht="15.75" x14ac:dyDescent="0.25">
      <c r="A29" s="35">
        <v>515420</v>
      </c>
      <c r="B29" s="35" t="s">
        <v>12</v>
      </c>
      <c r="C29" s="35" t="s">
        <v>7</v>
      </c>
      <c r="D29" s="35" t="s">
        <v>1454</v>
      </c>
      <c r="E29" s="35">
        <v>411.31</v>
      </c>
      <c r="F29" s="34">
        <v>43371</v>
      </c>
    </row>
    <row r="30" spans="1:6" ht="15.75" x14ac:dyDescent="0.25">
      <c r="A30" s="35">
        <v>515410</v>
      </c>
      <c r="B30" s="35" t="s">
        <v>11</v>
      </c>
      <c r="C30" s="35" t="s">
        <v>7</v>
      </c>
      <c r="D30" s="35" t="s">
        <v>1454</v>
      </c>
      <c r="E30" s="35">
        <v>438.9</v>
      </c>
      <c r="F30" s="34">
        <v>43371</v>
      </c>
    </row>
    <row r="31" spans="1:6" ht="15.75" x14ac:dyDescent="0.25">
      <c r="A31" s="35">
        <v>515530</v>
      </c>
      <c r="B31" s="35" t="s">
        <v>13</v>
      </c>
      <c r="C31" s="35" t="s">
        <v>7</v>
      </c>
      <c r="D31" s="35" t="s">
        <v>1454</v>
      </c>
      <c r="E31" s="35">
        <v>498.68</v>
      </c>
      <c r="F31" s="34">
        <v>43371</v>
      </c>
    </row>
    <row r="32" spans="1:6" ht="15.75" x14ac:dyDescent="0.25">
      <c r="A32" s="35">
        <v>511120</v>
      </c>
      <c r="B32" s="35" t="s">
        <v>6</v>
      </c>
      <c r="C32" s="35" t="s">
        <v>7</v>
      </c>
      <c r="D32" s="35" t="s">
        <v>1454</v>
      </c>
      <c r="E32" s="35">
        <v>6416.67</v>
      </c>
      <c r="F32" s="34">
        <v>43371</v>
      </c>
    </row>
    <row r="33" spans="1:6" ht="15.75" x14ac:dyDescent="0.25">
      <c r="A33" s="35">
        <v>487110</v>
      </c>
      <c r="B33" s="35" t="s">
        <v>36</v>
      </c>
      <c r="C33" s="35" t="s">
        <v>1455</v>
      </c>
      <c r="D33" s="35" t="s">
        <v>1456</v>
      </c>
      <c r="E33" s="35">
        <v>13602.72</v>
      </c>
      <c r="F33" s="34">
        <v>43371</v>
      </c>
    </row>
  </sheetData>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9B224-C65D-4A7F-A695-E1251267EA95}">
  <dimension ref="A1:F58"/>
  <sheetViews>
    <sheetView workbookViewId="0">
      <selection activeCell="A2" sqref="A2"/>
    </sheetView>
  </sheetViews>
  <sheetFormatPr defaultRowHeight="15" x14ac:dyDescent="0.25"/>
  <cols>
    <col min="1" max="1" width="13.140625" style="36" customWidth="1"/>
    <col min="2" max="6" width="35.7109375" style="36" customWidth="1"/>
    <col min="7" max="16384" width="9.140625" style="36"/>
  </cols>
  <sheetData>
    <row r="1" spans="1:6" ht="16.5" x14ac:dyDescent="0.3">
      <c r="A1" s="90" t="s">
        <v>1379</v>
      </c>
      <c r="B1" s="91" t="s">
        <v>1</v>
      </c>
      <c r="C1" s="91" t="s">
        <v>2</v>
      </c>
      <c r="D1" s="91" t="s">
        <v>3</v>
      </c>
      <c r="E1" s="91" t="s">
        <v>4</v>
      </c>
      <c r="F1" s="92" t="s">
        <v>5</v>
      </c>
    </row>
    <row r="2" spans="1:6" ht="15.75" x14ac:dyDescent="0.25">
      <c r="A2" s="35">
        <v>587890</v>
      </c>
      <c r="B2" s="35" t="s">
        <v>32</v>
      </c>
      <c r="C2" s="35" t="s">
        <v>358</v>
      </c>
      <c r="D2" s="35" t="s">
        <v>1380</v>
      </c>
      <c r="E2" s="35">
        <v>2000</v>
      </c>
      <c r="F2" s="34">
        <v>43314</v>
      </c>
    </row>
    <row r="3" spans="1:6" ht="15.75" x14ac:dyDescent="0.25">
      <c r="A3" s="35">
        <v>527120</v>
      </c>
      <c r="B3" s="35" t="s">
        <v>143</v>
      </c>
      <c r="C3" s="35" t="s">
        <v>144</v>
      </c>
      <c r="D3" s="35" t="s">
        <v>1381</v>
      </c>
      <c r="E3" s="35">
        <v>14.5</v>
      </c>
      <c r="F3" s="34">
        <v>43315</v>
      </c>
    </row>
    <row r="4" spans="1:6" ht="15.75" x14ac:dyDescent="0.25">
      <c r="A4" s="35">
        <v>527120</v>
      </c>
      <c r="B4" s="35" t="s">
        <v>143</v>
      </c>
      <c r="C4" s="35" t="s">
        <v>144</v>
      </c>
      <c r="D4" s="35" t="s">
        <v>1381</v>
      </c>
      <c r="E4" s="35">
        <v>14.5</v>
      </c>
      <c r="F4" s="34">
        <v>43315</v>
      </c>
    </row>
    <row r="5" spans="1:6" ht="15.75" x14ac:dyDescent="0.25">
      <c r="A5" s="35">
        <v>558310</v>
      </c>
      <c r="B5" s="35" t="s">
        <v>1382</v>
      </c>
      <c r="C5" s="35" t="s">
        <v>1383</v>
      </c>
      <c r="D5" s="35" t="s">
        <v>1384</v>
      </c>
      <c r="E5" s="35">
        <v>242</v>
      </c>
      <c r="F5" s="34">
        <v>43315</v>
      </c>
    </row>
    <row r="6" spans="1:6" ht="15.75" x14ac:dyDescent="0.25">
      <c r="A6" s="35">
        <v>558310</v>
      </c>
      <c r="B6" s="35" t="s">
        <v>1382</v>
      </c>
      <c r="C6" s="35" t="s">
        <v>1385</v>
      </c>
      <c r="D6" s="35" t="s">
        <v>1386</v>
      </c>
      <c r="E6" s="35">
        <v>179</v>
      </c>
      <c r="F6" s="34">
        <v>43319</v>
      </c>
    </row>
    <row r="7" spans="1:6" ht="15.75" x14ac:dyDescent="0.25">
      <c r="A7" s="35">
        <v>526712</v>
      </c>
      <c r="B7" s="35" t="s">
        <v>14</v>
      </c>
      <c r="C7" s="35" t="s">
        <v>309</v>
      </c>
      <c r="D7" s="35" t="s">
        <v>1387</v>
      </c>
      <c r="E7" s="35">
        <v>44.76</v>
      </c>
      <c r="F7" s="34">
        <v>43321</v>
      </c>
    </row>
    <row r="8" spans="1:6" ht="15.75" x14ac:dyDescent="0.25">
      <c r="A8" s="35">
        <v>526712</v>
      </c>
      <c r="B8" s="35" t="s">
        <v>14</v>
      </c>
      <c r="C8" s="35" t="s">
        <v>1147</v>
      </c>
      <c r="D8" s="35" t="s">
        <v>1388</v>
      </c>
      <c r="E8" s="35">
        <v>151.13999999999999</v>
      </c>
      <c r="F8" s="34">
        <v>43322</v>
      </c>
    </row>
    <row r="9" spans="1:6" ht="15.75" x14ac:dyDescent="0.25">
      <c r="A9" s="35">
        <v>526712</v>
      </c>
      <c r="B9" s="35" t="s">
        <v>14</v>
      </c>
      <c r="C9" s="35" t="s">
        <v>961</v>
      </c>
      <c r="D9" s="35" t="s">
        <v>1389</v>
      </c>
      <c r="E9" s="35">
        <v>182.16</v>
      </c>
      <c r="F9" s="34">
        <v>43322</v>
      </c>
    </row>
    <row r="10" spans="1:6" ht="15.75" x14ac:dyDescent="0.25">
      <c r="A10" s="35">
        <v>587890</v>
      </c>
      <c r="B10" s="35" t="s">
        <v>32</v>
      </c>
      <c r="C10" s="35" t="s">
        <v>1390</v>
      </c>
      <c r="D10" s="35" t="s">
        <v>1391</v>
      </c>
      <c r="E10" s="35">
        <v>-3000</v>
      </c>
      <c r="F10" s="34">
        <v>43325</v>
      </c>
    </row>
    <row r="11" spans="1:6" ht="15.75" x14ac:dyDescent="0.25">
      <c r="A11" s="35">
        <v>587890</v>
      </c>
      <c r="B11" s="35" t="s">
        <v>32</v>
      </c>
      <c r="C11" s="35" t="s">
        <v>404</v>
      </c>
      <c r="D11" s="35" t="s">
        <v>709</v>
      </c>
      <c r="E11" s="35">
        <v>-2880</v>
      </c>
      <c r="F11" s="34">
        <v>43325</v>
      </c>
    </row>
    <row r="12" spans="1:6" ht="15.75" x14ac:dyDescent="0.25">
      <c r="A12" s="35">
        <v>587890</v>
      </c>
      <c r="B12" s="35" t="s">
        <v>32</v>
      </c>
      <c r="C12" s="35" t="s">
        <v>404</v>
      </c>
      <c r="D12" s="35" t="s">
        <v>704</v>
      </c>
      <c r="E12" s="35">
        <v>-2500</v>
      </c>
      <c r="F12" s="34">
        <v>43325</v>
      </c>
    </row>
    <row r="13" spans="1:6" ht="15.75" x14ac:dyDescent="0.25">
      <c r="A13" s="35">
        <v>587890</v>
      </c>
      <c r="B13" s="35" t="s">
        <v>32</v>
      </c>
      <c r="C13" s="35" t="s">
        <v>358</v>
      </c>
      <c r="D13" s="35" t="s">
        <v>359</v>
      </c>
      <c r="E13" s="35">
        <v>-1475</v>
      </c>
      <c r="F13" s="34">
        <v>43325</v>
      </c>
    </row>
    <row r="14" spans="1:6" ht="15.75" x14ac:dyDescent="0.25">
      <c r="A14" s="35">
        <v>587890</v>
      </c>
      <c r="B14" s="35" t="s">
        <v>32</v>
      </c>
      <c r="C14" s="35" t="s">
        <v>350</v>
      </c>
      <c r="D14" s="35" t="s">
        <v>715</v>
      </c>
      <c r="E14" s="35">
        <v>-1156.4000000000001</v>
      </c>
      <c r="F14" s="34">
        <v>43325</v>
      </c>
    </row>
    <row r="15" spans="1:6" ht="15.75" x14ac:dyDescent="0.25">
      <c r="A15" s="35">
        <v>587890</v>
      </c>
      <c r="B15" s="35" t="s">
        <v>32</v>
      </c>
      <c r="C15" s="35" t="s">
        <v>404</v>
      </c>
      <c r="D15" s="35" t="s">
        <v>578</v>
      </c>
      <c r="E15" s="35">
        <v>-676.63</v>
      </c>
      <c r="F15" s="34">
        <v>43325</v>
      </c>
    </row>
    <row r="16" spans="1:6" ht="15.75" x14ac:dyDescent="0.25">
      <c r="A16" s="35">
        <v>587890</v>
      </c>
      <c r="B16" s="35" t="s">
        <v>32</v>
      </c>
      <c r="C16" s="35" t="s">
        <v>404</v>
      </c>
      <c r="D16" s="35" t="s">
        <v>577</v>
      </c>
      <c r="E16" s="35">
        <v>-628.25</v>
      </c>
      <c r="F16" s="34">
        <v>43325</v>
      </c>
    </row>
    <row r="17" spans="1:6" ht="15.75" x14ac:dyDescent="0.25">
      <c r="A17" s="35">
        <v>487110</v>
      </c>
      <c r="B17" s="35" t="s">
        <v>36</v>
      </c>
      <c r="C17" s="35" t="s">
        <v>1392</v>
      </c>
      <c r="D17" s="35" t="s">
        <v>1393</v>
      </c>
      <c r="E17" s="35">
        <v>168.17</v>
      </c>
      <c r="F17" s="34">
        <v>43325</v>
      </c>
    </row>
    <row r="18" spans="1:6" ht="15.75" x14ac:dyDescent="0.25">
      <c r="A18" s="35">
        <v>487110</v>
      </c>
      <c r="B18" s="35" t="s">
        <v>36</v>
      </c>
      <c r="C18" s="35" t="s">
        <v>1394</v>
      </c>
      <c r="D18" s="35" t="s">
        <v>1395</v>
      </c>
      <c r="E18" s="35">
        <v>2605.35</v>
      </c>
      <c r="F18" s="34">
        <v>43326</v>
      </c>
    </row>
    <row r="19" spans="1:6" ht="15.75" x14ac:dyDescent="0.25">
      <c r="A19" s="35">
        <v>487110</v>
      </c>
      <c r="B19" s="35" t="s">
        <v>36</v>
      </c>
      <c r="C19" s="35" t="s">
        <v>1396</v>
      </c>
      <c r="D19" s="35" t="s">
        <v>1397</v>
      </c>
      <c r="E19" s="35">
        <v>740.3</v>
      </c>
      <c r="F19" s="34">
        <v>43327</v>
      </c>
    </row>
    <row r="20" spans="1:6" ht="15.75" x14ac:dyDescent="0.25">
      <c r="A20" s="35">
        <v>487110</v>
      </c>
      <c r="B20" s="35" t="s">
        <v>36</v>
      </c>
      <c r="C20" s="35" t="s">
        <v>1398</v>
      </c>
      <c r="D20" s="35" t="s">
        <v>1399</v>
      </c>
      <c r="E20" s="35">
        <v>3416.72</v>
      </c>
      <c r="F20" s="34">
        <v>43327</v>
      </c>
    </row>
    <row r="21" spans="1:6" ht="15.75" x14ac:dyDescent="0.25">
      <c r="A21" s="35">
        <v>487110</v>
      </c>
      <c r="B21" s="35" t="s">
        <v>36</v>
      </c>
      <c r="C21" s="35" t="s">
        <v>1400</v>
      </c>
      <c r="D21" s="35" t="s">
        <v>1401</v>
      </c>
      <c r="E21" s="35">
        <v>3525.72</v>
      </c>
      <c r="F21" s="34">
        <v>43329</v>
      </c>
    </row>
    <row r="22" spans="1:6" ht="15.75" x14ac:dyDescent="0.25">
      <c r="A22" s="35">
        <v>487110</v>
      </c>
      <c r="B22" s="35" t="s">
        <v>36</v>
      </c>
      <c r="C22" s="35" t="s">
        <v>1402</v>
      </c>
      <c r="D22" s="35" t="s">
        <v>1403</v>
      </c>
      <c r="E22" s="35">
        <v>1037.17</v>
      </c>
      <c r="F22" s="34">
        <v>43332</v>
      </c>
    </row>
    <row r="23" spans="1:6" ht="15.75" x14ac:dyDescent="0.25">
      <c r="A23" s="35">
        <v>558979</v>
      </c>
      <c r="B23" s="35" t="s">
        <v>150</v>
      </c>
      <c r="C23" s="35" t="s">
        <v>789</v>
      </c>
      <c r="D23" s="35" t="s">
        <v>1404</v>
      </c>
      <c r="E23" s="35">
        <v>333.34</v>
      </c>
      <c r="F23" s="34">
        <v>43333</v>
      </c>
    </row>
    <row r="24" spans="1:6" ht="15.75" x14ac:dyDescent="0.25">
      <c r="A24" s="35">
        <v>558979</v>
      </c>
      <c r="B24" s="35" t="s">
        <v>150</v>
      </c>
      <c r="C24" s="35" t="s">
        <v>309</v>
      </c>
      <c r="D24" s="35" t="s">
        <v>1405</v>
      </c>
      <c r="E24" s="35">
        <v>541.66999999999996</v>
      </c>
      <c r="F24" s="34">
        <v>43333</v>
      </c>
    </row>
    <row r="25" spans="1:6" ht="15.75" x14ac:dyDescent="0.25">
      <c r="A25" s="35">
        <v>487110</v>
      </c>
      <c r="B25" s="35" t="s">
        <v>36</v>
      </c>
      <c r="C25" s="35" t="s">
        <v>1406</v>
      </c>
      <c r="D25" s="35" t="s">
        <v>1407</v>
      </c>
      <c r="E25" s="35">
        <v>3493.77</v>
      </c>
      <c r="F25" s="34">
        <v>43333</v>
      </c>
    </row>
    <row r="26" spans="1:6" ht="15.75" x14ac:dyDescent="0.25">
      <c r="A26" s="35">
        <v>526712</v>
      </c>
      <c r="B26" s="35" t="s">
        <v>14</v>
      </c>
      <c r="C26" s="35" t="s">
        <v>1304</v>
      </c>
      <c r="D26" s="35" t="s">
        <v>1408</v>
      </c>
      <c r="E26" s="35">
        <v>13.08</v>
      </c>
      <c r="F26" s="34">
        <v>43334</v>
      </c>
    </row>
    <row r="27" spans="1:6" ht="15.75" x14ac:dyDescent="0.25">
      <c r="A27" s="35">
        <v>526742</v>
      </c>
      <c r="B27" s="35" t="s">
        <v>26</v>
      </c>
      <c r="C27" s="35" t="s">
        <v>789</v>
      </c>
      <c r="D27" s="35" t="s">
        <v>1409</v>
      </c>
      <c r="E27" s="35">
        <v>18.899999999999999</v>
      </c>
      <c r="F27" s="34">
        <v>43334</v>
      </c>
    </row>
    <row r="28" spans="1:6" ht="15.75" x14ac:dyDescent="0.25">
      <c r="A28" s="35">
        <v>526742</v>
      </c>
      <c r="B28" s="35" t="s">
        <v>26</v>
      </c>
      <c r="C28" s="35" t="s">
        <v>1304</v>
      </c>
      <c r="D28" s="35" t="s">
        <v>1408</v>
      </c>
      <c r="E28" s="35">
        <v>18.899999999999999</v>
      </c>
      <c r="F28" s="34">
        <v>43334</v>
      </c>
    </row>
    <row r="29" spans="1:6" ht="15.75" x14ac:dyDescent="0.25">
      <c r="A29" s="35">
        <v>526742</v>
      </c>
      <c r="B29" s="35" t="s">
        <v>26</v>
      </c>
      <c r="C29" s="35" t="s">
        <v>1410</v>
      </c>
      <c r="D29" s="35" t="s">
        <v>1411</v>
      </c>
      <c r="E29" s="35">
        <v>18.899999999999999</v>
      </c>
      <c r="F29" s="34">
        <v>43334</v>
      </c>
    </row>
    <row r="30" spans="1:6" ht="15.75" x14ac:dyDescent="0.25">
      <c r="A30" s="35">
        <v>526712</v>
      </c>
      <c r="B30" s="35" t="s">
        <v>14</v>
      </c>
      <c r="C30" s="35" t="s">
        <v>1410</v>
      </c>
      <c r="D30" s="35" t="s">
        <v>1411</v>
      </c>
      <c r="E30" s="35">
        <v>70.62</v>
      </c>
      <c r="F30" s="34">
        <v>43334</v>
      </c>
    </row>
    <row r="31" spans="1:6" ht="15.75" x14ac:dyDescent="0.25">
      <c r="A31" s="35">
        <v>526712</v>
      </c>
      <c r="B31" s="35" t="s">
        <v>14</v>
      </c>
      <c r="C31" s="35" t="s">
        <v>789</v>
      </c>
      <c r="D31" s="35" t="s">
        <v>1409</v>
      </c>
      <c r="E31" s="35">
        <v>110.22</v>
      </c>
      <c r="F31" s="34">
        <v>43334</v>
      </c>
    </row>
    <row r="32" spans="1:6" ht="15.75" x14ac:dyDescent="0.25">
      <c r="A32" s="35">
        <v>526712</v>
      </c>
      <c r="B32" s="35" t="s">
        <v>14</v>
      </c>
      <c r="C32" s="35" t="s">
        <v>1412</v>
      </c>
      <c r="D32" s="35" t="s">
        <v>1413</v>
      </c>
      <c r="E32" s="35">
        <v>13.08</v>
      </c>
      <c r="F32" s="34">
        <v>43335</v>
      </c>
    </row>
    <row r="33" spans="1:6" ht="15.75" x14ac:dyDescent="0.25">
      <c r="A33" s="35">
        <v>526712</v>
      </c>
      <c r="B33" s="35" t="s">
        <v>14</v>
      </c>
      <c r="C33" s="35" t="s">
        <v>309</v>
      </c>
      <c r="D33" s="35" t="s">
        <v>1414</v>
      </c>
      <c r="E33" s="35">
        <v>13.08</v>
      </c>
      <c r="F33" s="34">
        <v>43335</v>
      </c>
    </row>
    <row r="34" spans="1:6" ht="15.75" x14ac:dyDescent="0.25">
      <c r="A34" s="35">
        <v>526742</v>
      </c>
      <c r="B34" s="35" t="s">
        <v>26</v>
      </c>
      <c r="C34" s="35" t="s">
        <v>1412</v>
      </c>
      <c r="D34" s="35" t="s">
        <v>1413</v>
      </c>
      <c r="E34" s="35">
        <v>18.899999999999999</v>
      </c>
      <c r="F34" s="34">
        <v>43335</v>
      </c>
    </row>
    <row r="35" spans="1:6" ht="15.75" x14ac:dyDescent="0.25">
      <c r="A35" s="35">
        <v>526742</v>
      </c>
      <c r="B35" s="35" t="s">
        <v>26</v>
      </c>
      <c r="C35" s="35" t="s">
        <v>1415</v>
      </c>
      <c r="D35" s="35" t="s">
        <v>1416</v>
      </c>
      <c r="E35" s="35">
        <v>18.899999999999999</v>
      </c>
      <c r="F35" s="34">
        <v>43335</v>
      </c>
    </row>
    <row r="36" spans="1:6" ht="15.75" x14ac:dyDescent="0.25">
      <c r="A36" s="35">
        <v>526742</v>
      </c>
      <c r="B36" s="35" t="s">
        <v>26</v>
      </c>
      <c r="C36" s="35" t="s">
        <v>309</v>
      </c>
      <c r="D36" s="35" t="s">
        <v>1414</v>
      </c>
      <c r="E36" s="35">
        <v>18.899999999999999</v>
      </c>
      <c r="F36" s="34">
        <v>43335</v>
      </c>
    </row>
    <row r="37" spans="1:6" ht="15.75" x14ac:dyDescent="0.25">
      <c r="A37" s="35">
        <v>526742</v>
      </c>
      <c r="B37" s="35" t="s">
        <v>26</v>
      </c>
      <c r="C37" s="35" t="s">
        <v>1062</v>
      </c>
      <c r="D37" s="35" t="s">
        <v>1417</v>
      </c>
      <c r="E37" s="35">
        <v>18.899999999999999</v>
      </c>
      <c r="F37" s="34">
        <v>43335</v>
      </c>
    </row>
    <row r="38" spans="1:6" ht="15.75" x14ac:dyDescent="0.25">
      <c r="A38" s="35">
        <v>526742</v>
      </c>
      <c r="B38" s="35" t="s">
        <v>26</v>
      </c>
      <c r="C38" s="35" t="s">
        <v>1001</v>
      </c>
      <c r="D38" s="35" t="s">
        <v>1418</v>
      </c>
      <c r="E38" s="35">
        <v>18.899999999999999</v>
      </c>
      <c r="F38" s="34">
        <v>43335</v>
      </c>
    </row>
    <row r="39" spans="1:6" ht="15.75" x14ac:dyDescent="0.25">
      <c r="A39" s="35">
        <v>526742</v>
      </c>
      <c r="B39" s="35" t="s">
        <v>26</v>
      </c>
      <c r="C39" s="35" t="s">
        <v>927</v>
      </c>
      <c r="D39" s="35" t="s">
        <v>1419</v>
      </c>
      <c r="E39" s="35">
        <v>18.899999999999999</v>
      </c>
      <c r="F39" s="34">
        <v>43335</v>
      </c>
    </row>
    <row r="40" spans="1:6" ht="15.75" x14ac:dyDescent="0.25">
      <c r="A40" s="35">
        <v>526712</v>
      </c>
      <c r="B40" s="35" t="s">
        <v>14</v>
      </c>
      <c r="C40" s="35" t="s">
        <v>1062</v>
      </c>
      <c r="D40" s="35" t="s">
        <v>1417</v>
      </c>
      <c r="E40" s="35">
        <v>35.64</v>
      </c>
      <c r="F40" s="34">
        <v>43335</v>
      </c>
    </row>
    <row r="41" spans="1:6" ht="15.75" x14ac:dyDescent="0.25">
      <c r="A41" s="35">
        <v>526712</v>
      </c>
      <c r="B41" s="35" t="s">
        <v>14</v>
      </c>
      <c r="C41" s="35" t="s">
        <v>1001</v>
      </c>
      <c r="D41" s="35" t="s">
        <v>1418</v>
      </c>
      <c r="E41" s="35">
        <v>54.12</v>
      </c>
      <c r="F41" s="34">
        <v>43335</v>
      </c>
    </row>
    <row r="42" spans="1:6" ht="15.75" x14ac:dyDescent="0.25">
      <c r="A42" s="35">
        <v>526712</v>
      </c>
      <c r="B42" s="35" t="s">
        <v>14</v>
      </c>
      <c r="C42" s="35" t="s">
        <v>1415</v>
      </c>
      <c r="D42" s="35" t="s">
        <v>1416</v>
      </c>
      <c r="E42" s="35">
        <v>71.94</v>
      </c>
      <c r="F42" s="34">
        <v>43335</v>
      </c>
    </row>
    <row r="43" spans="1:6" ht="15.75" x14ac:dyDescent="0.25">
      <c r="A43" s="35">
        <v>526712</v>
      </c>
      <c r="B43" s="35" t="s">
        <v>14</v>
      </c>
      <c r="C43" s="35" t="s">
        <v>927</v>
      </c>
      <c r="D43" s="35" t="s">
        <v>1419</v>
      </c>
      <c r="E43" s="35">
        <v>89.76</v>
      </c>
      <c r="F43" s="34">
        <v>43335</v>
      </c>
    </row>
    <row r="44" spans="1:6" ht="15.75" x14ac:dyDescent="0.25">
      <c r="A44" s="35">
        <v>558921</v>
      </c>
      <c r="B44" s="35" t="s">
        <v>262</v>
      </c>
      <c r="C44" s="35" t="s">
        <v>924</v>
      </c>
      <c r="D44" s="35" t="s">
        <v>1420</v>
      </c>
      <c r="E44" s="35">
        <v>97.18</v>
      </c>
      <c r="F44" s="34">
        <v>43335</v>
      </c>
    </row>
    <row r="45" spans="1:6" ht="15.75" x14ac:dyDescent="0.25">
      <c r="A45" s="35">
        <v>526742</v>
      </c>
      <c r="B45" s="35" t="s">
        <v>26</v>
      </c>
      <c r="C45" s="35" t="s">
        <v>1029</v>
      </c>
      <c r="D45" s="35" t="s">
        <v>1421</v>
      </c>
      <c r="E45" s="35">
        <v>18.899999999999999</v>
      </c>
      <c r="F45" s="34">
        <v>43339</v>
      </c>
    </row>
    <row r="46" spans="1:6" ht="15.75" x14ac:dyDescent="0.25">
      <c r="A46" s="35">
        <v>526712</v>
      </c>
      <c r="B46" s="35" t="s">
        <v>14</v>
      </c>
      <c r="C46" s="35" t="s">
        <v>1029</v>
      </c>
      <c r="D46" s="35" t="s">
        <v>1421</v>
      </c>
      <c r="E46" s="35">
        <v>110.22</v>
      </c>
      <c r="F46" s="34">
        <v>43339</v>
      </c>
    </row>
    <row r="47" spans="1:6" ht="15.75" x14ac:dyDescent="0.25">
      <c r="A47" s="35">
        <v>526742</v>
      </c>
      <c r="B47" s="35" t="s">
        <v>26</v>
      </c>
      <c r="C47" s="35" t="s">
        <v>785</v>
      </c>
      <c r="D47" s="35" t="s">
        <v>1422</v>
      </c>
      <c r="E47" s="35">
        <v>18.899999999999999</v>
      </c>
      <c r="F47" s="34">
        <v>43340</v>
      </c>
    </row>
    <row r="48" spans="1:6" ht="15.75" x14ac:dyDescent="0.25">
      <c r="A48" s="35">
        <v>526712</v>
      </c>
      <c r="B48" s="35" t="s">
        <v>14</v>
      </c>
      <c r="C48" s="35" t="s">
        <v>785</v>
      </c>
      <c r="D48" s="35" t="s">
        <v>1422</v>
      </c>
      <c r="E48" s="35">
        <v>102.3</v>
      </c>
      <c r="F48" s="34">
        <v>43340</v>
      </c>
    </row>
    <row r="49" spans="1:6" ht="15.75" x14ac:dyDescent="0.25">
      <c r="A49" s="35">
        <v>526742</v>
      </c>
      <c r="B49" s="35" t="s">
        <v>26</v>
      </c>
      <c r="C49" s="35" t="s">
        <v>1423</v>
      </c>
      <c r="D49" s="35" t="s">
        <v>1424</v>
      </c>
      <c r="E49" s="35">
        <v>18.899999999999999</v>
      </c>
      <c r="F49" s="34">
        <v>43342</v>
      </c>
    </row>
    <row r="50" spans="1:6" ht="15.75" x14ac:dyDescent="0.25">
      <c r="A50" s="35">
        <v>526712</v>
      </c>
      <c r="B50" s="35" t="s">
        <v>14</v>
      </c>
      <c r="C50" s="35" t="s">
        <v>1423</v>
      </c>
      <c r="D50" s="35" t="s">
        <v>1424</v>
      </c>
      <c r="E50" s="35">
        <v>21.25</v>
      </c>
      <c r="F50" s="34">
        <v>43342</v>
      </c>
    </row>
    <row r="51" spans="1:6" ht="15.75" x14ac:dyDescent="0.25">
      <c r="A51" s="35">
        <v>526712</v>
      </c>
      <c r="B51" s="35" t="s">
        <v>14</v>
      </c>
      <c r="C51" s="35" t="s">
        <v>1423</v>
      </c>
      <c r="D51" s="35" t="s">
        <v>1424</v>
      </c>
      <c r="E51" s="35">
        <v>50.5</v>
      </c>
      <c r="F51" s="34">
        <v>43342</v>
      </c>
    </row>
    <row r="52" spans="1:6" ht="15.75" x14ac:dyDescent="0.25">
      <c r="A52" s="35">
        <v>487110</v>
      </c>
      <c r="B52" s="35" t="s">
        <v>36</v>
      </c>
      <c r="C52" s="35" t="s">
        <v>1425</v>
      </c>
      <c r="D52" s="35" t="s">
        <v>1426</v>
      </c>
      <c r="E52" s="35">
        <v>1450.75</v>
      </c>
      <c r="F52" s="34">
        <v>43342</v>
      </c>
    </row>
    <row r="53" spans="1:6" ht="15.75" x14ac:dyDescent="0.25">
      <c r="A53" s="35">
        <v>515130</v>
      </c>
      <c r="B53" s="35" t="s">
        <v>10</v>
      </c>
      <c r="C53" s="35" t="s">
        <v>7</v>
      </c>
      <c r="D53" s="35" t="s">
        <v>1427</v>
      </c>
      <c r="E53" s="35">
        <v>91.46</v>
      </c>
      <c r="F53" s="34">
        <v>43343</v>
      </c>
    </row>
    <row r="54" spans="1:6" ht="15.75" x14ac:dyDescent="0.25">
      <c r="A54" s="35">
        <v>515120</v>
      </c>
      <c r="B54" s="35" t="s">
        <v>9</v>
      </c>
      <c r="C54" s="35" t="s">
        <v>7</v>
      </c>
      <c r="D54" s="35" t="s">
        <v>1427</v>
      </c>
      <c r="E54" s="35">
        <v>391.08</v>
      </c>
      <c r="F54" s="34">
        <v>43343</v>
      </c>
    </row>
    <row r="55" spans="1:6" ht="15.75" x14ac:dyDescent="0.25">
      <c r="A55" s="35">
        <v>515420</v>
      </c>
      <c r="B55" s="35" t="s">
        <v>12</v>
      </c>
      <c r="C55" s="35" t="s">
        <v>7</v>
      </c>
      <c r="D55" s="35" t="s">
        <v>1427</v>
      </c>
      <c r="E55" s="35">
        <v>411.31</v>
      </c>
      <c r="F55" s="34">
        <v>43343</v>
      </c>
    </row>
    <row r="56" spans="1:6" ht="15.75" x14ac:dyDescent="0.25">
      <c r="A56" s="35">
        <v>515410</v>
      </c>
      <c r="B56" s="35" t="s">
        <v>11</v>
      </c>
      <c r="C56" s="35" t="s">
        <v>7</v>
      </c>
      <c r="D56" s="35" t="s">
        <v>1427</v>
      </c>
      <c r="E56" s="35">
        <v>438.9</v>
      </c>
      <c r="F56" s="34">
        <v>43343</v>
      </c>
    </row>
    <row r="57" spans="1:6" ht="15.75" x14ac:dyDescent="0.25">
      <c r="A57" s="35">
        <v>515530</v>
      </c>
      <c r="B57" s="35" t="s">
        <v>13</v>
      </c>
      <c r="C57" s="35" t="s">
        <v>7</v>
      </c>
      <c r="D57" s="35" t="s">
        <v>1427</v>
      </c>
      <c r="E57" s="35">
        <v>498.68</v>
      </c>
      <c r="F57" s="34">
        <v>43343</v>
      </c>
    </row>
    <row r="58" spans="1:6" ht="15.75" x14ac:dyDescent="0.25">
      <c r="A58" s="35">
        <v>511120</v>
      </c>
      <c r="B58" s="35" t="s">
        <v>6</v>
      </c>
      <c r="C58" s="35" t="s">
        <v>7</v>
      </c>
      <c r="D58" s="35" t="s">
        <v>1427</v>
      </c>
      <c r="E58" s="35">
        <v>6416.67</v>
      </c>
      <c r="F58" s="34">
        <v>43343</v>
      </c>
    </row>
  </sheetData>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C7514-1A9E-4FCD-9DAD-C16D0F30C41E}">
  <dimension ref="A1:G123"/>
  <sheetViews>
    <sheetView workbookViewId="0">
      <selection activeCell="F19" sqref="F19"/>
    </sheetView>
  </sheetViews>
  <sheetFormatPr defaultRowHeight="15" x14ac:dyDescent="0.25"/>
  <cols>
    <col min="1" max="1" width="3.28515625" style="36" customWidth="1"/>
    <col min="2" max="6" width="40.7109375" style="36" customWidth="1"/>
    <col min="7" max="7" width="3.28515625" style="36" customWidth="1"/>
    <col min="8" max="16384" width="9.140625" style="36"/>
  </cols>
  <sheetData>
    <row r="1" spans="1:7" ht="15.75" thickBot="1" x14ac:dyDescent="0.3">
      <c r="A1" s="371" t="b">
        <f>IF(($E$119+$E$120)=(SUM('FY2019 July Transactions'!E:E)),TRUE,FALSE)</f>
        <v>1</v>
      </c>
      <c r="B1" s="372"/>
      <c r="C1" s="372"/>
      <c r="D1" s="372"/>
      <c r="E1" s="372"/>
      <c r="F1" s="372"/>
      <c r="G1" s="373"/>
    </row>
    <row r="2" spans="1:7" ht="26.25" customHeight="1" x14ac:dyDescent="0.25">
      <c r="A2" s="374" t="b">
        <f>IF(($E$119+$E$120)=(SUM('FY2019 July Transactions'!E:E)),TRUE,FALSE)</f>
        <v>1</v>
      </c>
      <c r="B2" s="350" t="s">
        <v>1980</v>
      </c>
      <c r="C2" s="351"/>
      <c r="D2" s="351"/>
      <c r="E2" s="351"/>
      <c r="F2" s="352"/>
      <c r="G2" s="374" t="b">
        <f>IF(($E$119+$E$120)=(SUM('FY2019 July Transactions'!E:E)),TRUE,FALSE)</f>
        <v>1</v>
      </c>
    </row>
    <row r="3" spans="1:7" ht="26.25" customHeight="1" x14ac:dyDescent="0.25">
      <c r="A3" s="374"/>
      <c r="B3" s="353"/>
      <c r="C3" s="354"/>
      <c r="D3" s="354"/>
      <c r="E3" s="354"/>
      <c r="F3" s="355"/>
      <c r="G3" s="374"/>
    </row>
    <row r="4" spans="1:7" ht="15.75" x14ac:dyDescent="0.25">
      <c r="A4" s="374"/>
      <c r="B4" s="100" t="s">
        <v>53</v>
      </c>
      <c r="C4" s="101" t="s">
        <v>54</v>
      </c>
      <c r="D4" s="101" t="s">
        <v>1969</v>
      </c>
      <c r="E4" s="101" t="s">
        <v>168</v>
      </c>
      <c r="F4" s="102" t="s">
        <v>1970</v>
      </c>
      <c r="G4" s="374"/>
    </row>
    <row r="5" spans="1:7" ht="15.75" x14ac:dyDescent="0.25">
      <c r="A5" s="374"/>
      <c r="B5" s="11"/>
      <c r="C5" s="1"/>
      <c r="D5" s="1"/>
      <c r="E5" s="1"/>
      <c r="F5" s="12"/>
      <c r="G5" s="374"/>
    </row>
    <row r="6" spans="1:7" ht="15.75" x14ac:dyDescent="0.25">
      <c r="A6" s="374"/>
      <c r="B6" s="344" t="s">
        <v>1979</v>
      </c>
      <c r="C6" s="345"/>
      <c r="D6" s="345"/>
      <c r="E6" s="345"/>
      <c r="F6" s="346"/>
      <c r="G6" s="374"/>
    </row>
    <row r="7" spans="1:7" ht="15.75" x14ac:dyDescent="0.25">
      <c r="A7" s="374"/>
      <c r="B7" s="11"/>
      <c r="C7" s="1"/>
      <c r="D7" s="1"/>
      <c r="E7" s="1"/>
      <c r="F7" s="12"/>
      <c r="G7" s="374"/>
    </row>
    <row r="8" spans="1:7" x14ac:dyDescent="0.25">
      <c r="A8" s="374"/>
      <c r="B8" s="80" t="s">
        <v>132</v>
      </c>
      <c r="C8" s="81"/>
      <c r="D8" s="81"/>
      <c r="E8" s="81"/>
      <c r="F8" s="82"/>
      <c r="G8" s="374"/>
    </row>
    <row r="9" spans="1:7" ht="15.75" x14ac:dyDescent="0.25">
      <c r="A9" s="374"/>
      <c r="B9" s="11"/>
      <c r="C9" s="1"/>
      <c r="D9" s="1"/>
      <c r="E9" s="1"/>
      <c r="F9" s="12"/>
      <c r="G9" s="374"/>
    </row>
    <row r="10" spans="1:7" x14ac:dyDescent="0.25">
      <c r="A10" s="374"/>
      <c r="B10" s="13" t="s">
        <v>133</v>
      </c>
      <c r="C10" s="2"/>
      <c r="D10" s="2"/>
      <c r="E10" s="2"/>
      <c r="F10" s="14"/>
      <c r="G10" s="374"/>
    </row>
    <row r="11" spans="1:7" ht="15.75" x14ac:dyDescent="0.25">
      <c r="A11" s="374"/>
      <c r="B11" s="11"/>
      <c r="C11" s="3" t="s">
        <v>134</v>
      </c>
      <c r="D11" s="4">
        <f>'FY2019 Approved Budget'!C11</f>
        <v>163456.56</v>
      </c>
      <c r="E11" s="4">
        <f>E121</f>
        <v>-9404.59</v>
      </c>
      <c r="F11" s="15">
        <f>(D11+E11)</f>
        <v>154051.97</v>
      </c>
      <c r="G11" s="374"/>
    </row>
    <row r="12" spans="1:7" x14ac:dyDescent="0.25">
      <c r="A12" s="374"/>
      <c r="B12" s="16" t="s">
        <v>136</v>
      </c>
      <c r="C12" s="2"/>
      <c r="D12" s="5">
        <f>'FY2019 Approved Budget'!C12</f>
        <v>163456.56</v>
      </c>
      <c r="E12" s="5">
        <f>SUM(E11:E11)</f>
        <v>-9404.59</v>
      </c>
      <c r="F12" s="17">
        <f>(D12+E12)</f>
        <v>154051.97</v>
      </c>
      <c r="G12" s="374"/>
    </row>
    <row r="13" spans="1:7" ht="15.75" x14ac:dyDescent="0.25">
      <c r="A13" s="374"/>
      <c r="B13" s="11"/>
      <c r="C13" s="1"/>
      <c r="D13" s="1"/>
      <c r="E13" s="1"/>
      <c r="F13" s="12"/>
      <c r="G13" s="374"/>
    </row>
    <row r="14" spans="1:7" x14ac:dyDescent="0.25">
      <c r="A14" s="374"/>
      <c r="B14" s="83" t="s">
        <v>138</v>
      </c>
      <c r="C14" s="84"/>
      <c r="D14" s="85">
        <f>'FY2019 Approved Budget'!C14</f>
        <v>163456.56</v>
      </c>
      <c r="E14" s="85">
        <f>SUM(E12,)</f>
        <v>-9404.59</v>
      </c>
      <c r="F14" s="86">
        <f>(D14+E14)</f>
        <v>154051.97</v>
      </c>
      <c r="G14" s="374"/>
    </row>
    <row r="15" spans="1:7" ht="15.75" x14ac:dyDescent="0.25">
      <c r="A15" s="374"/>
      <c r="B15" s="11"/>
      <c r="C15" s="1"/>
      <c r="D15" s="1"/>
      <c r="E15" s="1"/>
      <c r="F15" s="12"/>
      <c r="G15" s="374"/>
    </row>
    <row r="16" spans="1:7" x14ac:dyDescent="0.25">
      <c r="A16" s="374"/>
      <c r="B16" s="73" t="s">
        <v>55</v>
      </c>
      <c r="C16" s="74"/>
      <c r="D16" s="74"/>
      <c r="E16" s="74"/>
      <c r="F16" s="75"/>
      <c r="G16" s="374"/>
    </row>
    <row r="17" spans="1:7" ht="15.75" x14ac:dyDescent="0.25">
      <c r="A17" s="374"/>
      <c r="B17" s="11"/>
      <c r="C17" s="1"/>
      <c r="D17" s="1"/>
      <c r="E17" s="1"/>
      <c r="F17" s="12"/>
      <c r="G17" s="374"/>
    </row>
    <row r="18" spans="1:7" x14ac:dyDescent="0.25">
      <c r="A18" s="374"/>
      <c r="B18" s="13" t="s">
        <v>56</v>
      </c>
      <c r="C18" s="2"/>
      <c r="D18" s="2"/>
      <c r="E18" s="2"/>
      <c r="F18" s="14"/>
      <c r="G18" s="374"/>
    </row>
    <row r="19" spans="1:7" ht="15.75" x14ac:dyDescent="0.25">
      <c r="A19" s="374"/>
      <c r="B19" s="11"/>
      <c r="C19" s="3" t="s">
        <v>57</v>
      </c>
      <c r="D19" s="4">
        <v>0</v>
      </c>
      <c r="E19" s="4">
        <f>SUMIFS(TraFY2019Jul[[ Amount]],TraFY2019Jul[[ Acct Desc]], "Transfer In*")</f>
        <v>0</v>
      </c>
      <c r="F19" s="15">
        <f>(D19+E19)</f>
        <v>0</v>
      </c>
      <c r="G19" s="374"/>
    </row>
    <row r="20" spans="1:7" x14ac:dyDescent="0.25">
      <c r="A20" s="374"/>
      <c r="B20" s="16" t="s">
        <v>58</v>
      </c>
      <c r="C20" s="2"/>
      <c r="D20" s="5">
        <f>SUM(D19:D19)</f>
        <v>0</v>
      </c>
      <c r="E20" s="5">
        <f>SUM(E19:E19)</f>
        <v>0</v>
      </c>
      <c r="F20" s="17">
        <f>(D20+E20)</f>
        <v>0</v>
      </c>
      <c r="G20" s="374"/>
    </row>
    <row r="21" spans="1:7" ht="15.75" x14ac:dyDescent="0.25">
      <c r="A21" s="374"/>
      <c r="B21" s="11"/>
      <c r="C21" s="1"/>
      <c r="D21" s="1"/>
      <c r="E21" s="1"/>
      <c r="F21" s="12"/>
      <c r="G21" s="374"/>
    </row>
    <row r="22" spans="1:7" x14ac:dyDescent="0.25">
      <c r="A22" s="374"/>
      <c r="B22" s="13" t="s">
        <v>59</v>
      </c>
      <c r="C22" s="2"/>
      <c r="D22" s="2"/>
      <c r="E22" s="2"/>
      <c r="F22" s="14"/>
      <c r="G22" s="374"/>
    </row>
    <row r="23" spans="1:7" ht="15.75" x14ac:dyDescent="0.25">
      <c r="A23" s="374"/>
      <c r="B23" s="11"/>
      <c r="C23" s="3" t="s">
        <v>60</v>
      </c>
      <c r="D23" s="4">
        <f>'FY2019 Approved Budget'!C23</f>
        <v>0</v>
      </c>
      <c r="E23" s="4">
        <v>0</v>
      </c>
      <c r="F23" s="15">
        <f>(D23+E23)</f>
        <v>0</v>
      </c>
      <c r="G23" s="374"/>
    </row>
    <row r="24" spans="1:7" x14ac:dyDescent="0.25">
      <c r="A24" s="374"/>
      <c r="B24" s="16" t="s">
        <v>61</v>
      </c>
      <c r="C24" s="2"/>
      <c r="D24" s="5">
        <f>'FY2019 Approved Budget'!C24</f>
        <v>0</v>
      </c>
      <c r="E24" s="5">
        <f>SUM(E23:E23)</f>
        <v>0</v>
      </c>
      <c r="F24" s="17">
        <f>(D24-E24)</f>
        <v>0</v>
      </c>
      <c r="G24" s="374"/>
    </row>
    <row r="25" spans="1:7" ht="15.75" x14ac:dyDescent="0.25">
      <c r="A25" s="374"/>
      <c r="B25" s="11"/>
      <c r="C25" s="1"/>
      <c r="D25" s="1"/>
      <c r="E25" s="1"/>
      <c r="F25" s="12"/>
      <c r="G25" s="374"/>
    </row>
    <row r="26" spans="1:7" x14ac:dyDescent="0.25">
      <c r="A26" s="374"/>
      <c r="B26" s="76" t="s">
        <v>62</v>
      </c>
      <c r="C26" s="77"/>
      <c r="D26" s="78">
        <f>'FY2019 Approved Budget'!C26</f>
        <v>225000</v>
      </c>
      <c r="E26" s="78">
        <f>SUM(E20,E24)</f>
        <v>0</v>
      </c>
      <c r="F26" s="79">
        <f>(D26+E26)</f>
        <v>225000</v>
      </c>
      <c r="G26" s="374"/>
    </row>
    <row r="27" spans="1:7" ht="15.75" x14ac:dyDescent="0.25">
      <c r="A27" s="374"/>
      <c r="B27" s="11"/>
      <c r="C27" s="1"/>
      <c r="D27" s="1"/>
      <c r="E27" s="1"/>
      <c r="F27" s="12"/>
      <c r="G27" s="374"/>
    </row>
    <row r="28" spans="1:7" ht="15.75" x14ac:dyDescent="0.25">
      <c r="A28" s="374"/>
      <c r="B28" s="344" t="s">
        <v>169</v>
      </c>
      <c r="C28" s="345"/>
      <c r="D28" s="345"/>
      <c r="E28" s="345"/>
      <c r="F28" s="346"/>
      <c r="G28" s="374"/>
    </row>
    <row r="29" spans="1:7" ht="15.75" x14ac:dyDescent="0.25">
      <c r="A29" s="374"/>
      <c r="B29" s="11"/>
      <c r="C29" s="1"/>
      <c r="D29" s="1"/>
      <c r="E29" s="1"/>
      <c r="F29" s="12"/>
      <c r="G29" s="374"/>
    </row>
    <row r="30" spans="1:7" x14ac:dyDescent="0.25">
      <c r="A30" s="374"/>
      <c r="B30" s="66" t="s">
        <v>63</v>
      </c>
      <c r="C30" s="67"/>
      <c r="D30" s="67"/>
      <c r="E30" s="67"/>
      <c r="F30" s="68"/>
      <c r="G30" s="374"/>
    </row>
    <row r="31" spans="1:7" x14ac:dyDescent="0.25">
      <c r="A31" s="374"/>
      <c r="B31" s="18"/>
      <c r="C31" s="3"/>
      <c r="D31" s="3"/>
      <c r="E31" s="3"/>
      <c r="F31" s="19"/>
      <c r="G31" s="374"/>
    </row>
    <row r="32" spans="1:7" x14ac:dyDescent="0.25">
      <c r="A32" s="374"/>
      <c r="B32" s="13" t="s">
        <v>64</v>
      </c>
      <c r="C32" s="2"/>
      <c r="D32" s="2"/>
      <c r="E32" s="2"/>
      <c r="F32" s="14"/>
      <c r="G32" s="374"/>
    </row>
    <row r="33" spans="1:7" x14ac:dyDescent="0.25">
      <c r="A33" s="374"/>
      <c r="B33" s="20"/>
      <c r="C33" s="3" t="s">
        <v>65</v>
      </c>
      <c r="D33" s="4">
        <f>'FY2019 Approved Budget'!C33</f>
        <v>6500</v>
      </c>
      <c r="E33" s="4">
        <f>SUMIFS(TraFY2019Jul[[ Amount]],TraFY2019Jul[[ Trans ID]], "*STIP_ASG_ P*")</f>
        <v>541.66999999999996</v>
      </c>
      <c r="F33" s="15">
        <f>(D33-E33)</f>
        <v>5958.33</v>
      </c>
      <c r="G33" s="374"/>
    </row>
    <row r="34" spans="1:7" x14ac:dyDescent="0.25">
      <c r="A34" s="374"/>
      <c r="B34" s="20"/>
      <c r="C34" s="3" t="s">
        <v>66</v>
      </c>
      <c r="D34" s="4">
        <f>'FY2019 Approved Budget'!C34</f>
        <v>4000</v>
      </c>
      <c r="E34" s="4">
        <f>SUMIFS(TraFY2019Jul[[ Amount]],TraFY2019Jul[[ Trans ID]], "*STIP_ASG_SVP*")</f>
        <v>333.34</v>
      </c>
      <c r="F34" s="15">
        <f t="shared" ref="F34:F41" si="0">(D34-E34)</f>
        <v>3666.66</v>
      </c>
      <c r="G34" s="374"/>
    </row>
    <row r="35" spans="1:7" x14ac:dyDescent="0.25">
      <c r="A35" s="374"/>
      <c r="B35" s="20"/>
      <c r="C35" s="3" t="s">
        <v>67</v>
      </c>
      <c r="D35" s="4">
        <f>'FY2019 Approved Budget'!C35</f>
        <v>2250</v>
      </c>
      <c r="E35" s="4">
        <f>SUMIFS(TraFY2019Jul[[ Amount]],TraFY2019Jul[[ Trans ID]], "*STIP_ASG_ COS*")</f>
        <v>0</v>
      </c>
      <c r="F35" s="15">
        <f t="shared" si="0"/>
        <v>2250</v>
      </c>
      <c r="G35" s="374"/>
    </row>
    <row r="36" spans="1:7" x14ac:dyDescent="0.25">
      <c r="A36" s="374"/>
      <c r="B36" s="20"/>
      <c r="C36" s="3" t="s">
        <v>68</v>
      </c>
      <c r="D36" s="4">
        <f>'FY2019 Approved Budget'!C36</f>
        <v>2000</v>
      </c>
      <c r="E36" s="4">
        <f>SUMIFS(TraFY2019Jul[[ Amount]],TraFY2019Jul[[ Trans ID]], "*STIP_ASG_VPGO*")</f>
        <v>0</v>
      </c>
      <c r="F36" s="15">
        <f t="shared" si="0"/>
        <v>2000</v>
      </c>
      <c r="G36" s="374"/>
    </row>
    <row r="37" spans="1:7" x14ac:dyDescent="0.25">
      <c r="A37" s="374"/>
      <c r="B37" s="20"/>
      <c r="C37" s="3" t="s">
        <v>69</v>
      </c>
      <c r="D37" s="4">
        <f>'FY2019 Approved Budget'!C37</f>
        <v>2000</v>
      </c>
      <c r="E37" s="4">
        <f>SUMIFS(TraFY2019Jul[[ Amount]],TraFY2019Jul[[ Trans ID]], "*STIP_ASG_VPMO*")</f>
        <v>0</v>
      </c>
      <c r="F37" s="15">
        <f t="shared" si="0"/>
        <v>2000</v>
      </c>
      <c r="G37" s="374"/>
    </row>
    <row r="38" spans="1:7" x14ac:dyDescent="0.25">
      <c r="A38" s="374"/>
      <c r="B38" s="20"/>
      <c r="C38" s="3" t="s">
        <v>70</v>
      </c>
      <c r="D38" s="4">
        <f>'FY2019 Approved Budget'!C38</f>
        <v>2000</v>
      </c>
      <c r="E38" s="4">
        <f>SUMIFS(TraFY2019Jul[[ Amount]],TraFY2019Jul[[ Trans ID]], "*STIP_ASG_VPCO*")</f>
        <v>0</v>
      </c>
      <c r="F38" s="15">
        <f t="shared" si="0"/>
        <v>2000</v>
      </c>
      <c r="G38" s="374"/>
    </row>
    <row r="39" spans="1:7" x14ac:dyDescent="0.25">
      <c r="A39" s="374"/>
      <c r="B39" s="20"/>
      <c r="C39" s="3" t="s">
        <v>71</v>
      </c>
      <c r="D39" s="4">
        <f>'FY2019 Approved Budget'!C39</f>
        <v>2000</v>
      </c>
      <c r="E39" s="4">
        <f>SUMIFS(TraFY2019Jul[[ Amount]],TraFY2019Jul[[ Trans ID]], "*STIP_ASG_VPBF*")</f>
        <v>0</v>
      </c>
      <c r="F39" s="15">
        <f t="shared" si="0"/>
        <v>2000</v>
      </c>
      <c r="G39" s="374"/>
    </row>
    <row r="40" spans="1:7" x14ac:dyDescent="0.25">
      <c r="A40" s="374"/>
      <c r="B40" s="20"/>
      <c r="C40" s="3" t="s">
        <v>72</v>
      </c>
      <c r="D40" s="4">
        <f>'FY2019 Approved Budget'!C40</f>
        <v>2000</v>
      </c>
      <c r="E40" s="4">
        <f>SUMIFS(TraFY2019Jul[[ Amount]],TraFY2019Jul[[ Trans ID]], "*STIP_ASG_GSR*")</f>
        <v>0</v>
      </c>
      <c r="F40" s="15">
        <f t="shared" si="0"/>
        <v>2000</v>
      </c>
      <c r="G40" s="374"/>
    </row>
    <row r="41" spans="1:7" x14ac:dyDescent="0.25">
      <c r="A41" s="374"/>
      <c r="B41" s="20"/>
      <c r="C41" s="3" t="s">
        <v>73</v>
      </c>
      <c r="D41" s="4">
        <f>'FY2019 Approved Budget'!C41</f>
        <v>2000</v>
      </c>
      <c r="E41" s="4">
        <f>SUMIFS(TraFY2019Jul[[ Amount]],TraFY2019Jul[[ Trans ID]], "*STIP_ASG_MSIR*")</f>
        <v>0</v>
      </c>
      <c r="F41" s="15">
        <f t="shared" si="0"/>
        <v>2000</v>
      </c>
      <c r="G41" s="374"/>
    </row>
    <row r="42" spans="1:7" x14ac:dyDescent="0.25">
      <c r="A42" s="374"/>
      <c r="B42" s="16" t="s">
        <v>74</v>
      </c>
      <c r="C42" s="2"/>
      <c r="D42" s="5">
        <f>'FY2019 Approved Budget'!C42</f>
        <v>24750</v>
      </c>
      <c r="E42" s="6">
        <f>SUM(E33:E41)</f>
        <v>875.01</v>
      </c>
      <c r="F42" s="21">
        <f>(D42-E42)</f>
        <v>23874.99</v>
      </c>
      <c r="G42" s="374"/>
    </row>
    <row r="43" spans="1:7" x14ac:dyDescent="0.25">
      <c r="A43" s="374"/>
      <c r="B43" s="20"/>
      <c r="C43" s="3"/>
      <c r="D43" s="3"/>
      <c r="E43" s="3"/>
      <c r="F43" s="19"/>
      <c r="G43" s="374"/>
    </row>
    <row r="44" spans="1:7" x14ac:dyDescent="0.25">
      <c r="A44" s="374"/>
      <c r="B44" s="13" t="s">
        <v>75</v>
      </c>
      <c r="C44" s="2"/>
      <c r="D44" s="2"/>
      <c r="E44" s="2"/>
      <c r="F44" s="14"/>
      <c r="G44" s="374"/>
    </row>
    <row r="45" spans="1:7" x14ac:dyDescent="0.25">
      <c r="A45" s="374"/>
      <c r="B45" s="20"/>
      <c r="C45" s="3" t="s">
        <v>76</v>
      </c>
      <c r="D45" s="4">
        <f>'FY2019 Approved Budget'!C45</f>
        <v>53000</v>
      </c>
      <c r="E45" s="4">
        <f>SUMIFS(TraFY2019Jul[[ Amount]],TraFY2019Jul[[ Acct Desc]], "EHRA*")</f>
        <v>6416.67</v>
      </c>
      <c r="F45" s="15">
        <f>(D45-E45)</f>
        <v>46583.33</v>
      </c>
      <c r="G45" s="374"/>
    </row>
    <row r="46" spans="1:7" x14ac:dyDescent="0.25">
      <c r="A46" s="374"/>
      <c r="B46" s="20"/>
      <c r="C46" s="3" t="s">
        <v>77</v>
      </c>
      <c r="D46" s="4">
        <f>'FY2019 Approved Budget'!C46</f>
        <v>6810.5</v>
      </c>
      <c r="E46" s="4">
        <f>SUMIFS(TraFY2019Jul[[ Amount]],TraFY2019Jul[[ Acct Desc]], "ORP-TIAA Ret*")</f>
        <v>438.9</v>
      </c>
      <c r="F46" s="15">
        <f t="shared" ref="F46:F49" si="1">(D46-E46)</f>
        <v>6371.6</v>
      </c>
      <c r="G46" s="374"/>
    </row>
    <row r="47" spans="1:7" x14ac:dyDescent="0.25">
      <c r="A47" s="374"/>
      <c r="B47" s="20"/>
      <c r="C47" s="3" t="s">
        <v>78</v>
      </c>
      <c r="D47" s="4">
        <f>'FY2019 Approved Budget'!C47</f>
        <v>5564.16</v>
      </c>
      <c r="E47" s="4">
        <f>SUMIFS(TraFY2019Jul[[ Amount]],TraFY2019Jul[[ Acct Desc]], "ORP-TIAA Hea*") + SUMIFS(TraFY2019Jul[[ Amount]],TraFY2019Jul[[ Acct Desc]], "Medical*")</f>
        <v>909.99</v>
      </c>
      <c r="F47" s="15">
        <f t="shared" si="1"/>
        <v>4654.17</v>
      </c>
      <c r="G47" s="374"/>
    </row>
    <row r="48" spans="1:7" x14ac:dyDescent="0.25">
      <c r="A48" s="374"/>
      <c r="B48" s="20"/>
      <c r="C48" s="3" t="s">
        <v>79</v>
      </c>
      <c r="D48" s="4">
        <f>'FY2019 Approved Budget'!C48</f>
        <v>3286</v>
      </c>
      <c r="E48" s="4">
        <f>SUMIFS(TraFY2019Jul[[ Amount]],TraFY2019Jul[[ Acct Desc]], "Social Security-OASDI")</f>
        <v>390.98</v>
      </c>
      <c r="F48" s="15">
        <f t="shared" si="1"/>
        <v>2895.02</v>
      </c>
      <c r="G48" s="374"/>
    </row>
    <row r="49" spans="1:7" x14ac:dyDescent="0.25">
      <c r="A49" s="374"/>
      <c r="B49" s="20"/>
      <c r="C49" s="3" t="s">
        <v>80</v>
      </c>
      <c r="D49" s="4">
        <f>'FY2019 Approved Budget'!C49</f>
        <v>768.5</v>
      </c>
      <c r="E49" s="4">
        <f>SUMIFS(TraFY2019Jul[[ Amount]],TraFY2019Jul[[ Acct Desc]], "*Hospital Ins*")</f>
        <v>91.44</v>
      </c>
      <c r="F49" s="15">
        <f t="shared" si="1"/>
        <v>677.06</v>
      </c>
      <c r="G49" s="374"/>
    </row>
    <row r="50" spans="1:7" x14ac:dyDescent="0.25">
      <c r="A50" s="374"/>
      <c r="B50" s="16" t="s">
        <v>81</v>
      </c>
      <c r="C50" s="2"/>
      <c r="D50" s="5">
        <f>'FY2019 Approved Budget'!C50</f>
        <v>69429.16</v>
      </c>
      <c r="E50" s="6">
        <f>SUM(E45:E49)</f>
        <v>8247.98</v>
      </c>
      <c r="F50" s="21">
        <f>(D50-E50)</f>
        <v>61181.180000000008</v>
      </c>
      <c r="G50" s="374"/>
    </row>
    <row r="51" spans="1:7" x14ac:dyDescent="0.25">
      <c r="A51" s="374"/>
      <c r="B51" s="20"/>
      <c r="C51" s="3"/>
      <c r="D51" s="3"/>
      <c r="E51" s="3"/>
      <c r="F51" s="19"/>
      <c r="G51" s="374"/>
    </row>
    <row r="52" spans="1:7" x14ac:dyDescent="0.25">
      <c r="A52" s="374"/>
      <c r="B52" s="13" t="s">
        <v>82</v>
      </c>
      <c r="C52" s="2"/>
      <c r="D52" s="2"/>
      <c r="E52" s="2"/>
      <c r="F52" s="14"/>
      <c r="G52" s="374"/>
    </row>
    <row r="53" spans="1:7" x14ac:dyDescent="0.25">
      <c r="A53" s="374"/>
      <c r="B53" s="20"/>
      <c r="C53" s="3" t="s">
        <v>83</v>
      </c>
      <c r="D53" s="4">
        <f>'FY2019 Approved Budget'!C53</f>
        <v>17000</v>
      </c>
      <c r="E53" s="4">
        <f>SUMIFS(TraFY2019Jul[[ Amount]],TraFY2019Jul[[ Trans ID]], "*STIP_ASG_LIA*")</f>
        <v>0</v>
      </c>
      <c r="F53" s="15">
        <f t="shared" ref="F53" si="2">(D53-E53)</f>
        <v>17000</v>
      </c>
      <c r="G53" s="374"/>
    </row>
    <row r="54" spans="1:7" x14ac:dyDescent="0.25">
      <c r="A54" s="374"/>
      <c r="B54" s="16" t="s">
        <v>84</v>
      </c>
      <c r="C54" s="2"/>
      <c r="D54" s="5">
        <f>'FY2019 Approved Budget'!C54</f>
        <v>17000</v>
      </c>
      <c r="E54" s="6">
        <f>SUM(E53:E53)</f>
        <v>0</v>
      </c>
      <c r="F54" s="21">
        <f>(D54-E54)</f>
        <v>17000</v>
      </c>
      <c r="G54" s="374"/>
    </row>
    <row r="55" spans="1:7" x14ac:dyDescent="0.25">
      <c r="A55" s="374"/>
      <c r="B55" s="20"/>
      <c r="C55" s="3"/>
      <c r="D55" s="3"/>
      <c r="E55" s="3"/>
      <c r="F55" s="19"/>
      <c r="G55" s="374"/>
    </row>
    <row r="56" spans="1:7" x14ac:dyDescent="0.25">
      <c r="A56" s="374"/>
      <c r="B56" s="69" t="s">
        <v>85</v>
      </c>
      <c r="C56" s="70"/>
      <c r="D56" s="71">
        <f>'FY2019 Approved Budget'!C56</f>
        <v>111179.16</v>
      </c>
      <c r="E56" s="71">
        <f>SUM(E42, E50, E54)</f>
        <v>9122.99</v>
      </c>
      <c r="F56" s="72">
        <f>(D56-E56)</f>
        <v>102056.17</v>
      </c>
      <c r="G56" s="374"/>
    </row>
    <row r="57" spans="1:7" x14ac:dyDescent="0.25">
      <c r="A57" s="374"/>
      <c r="B57" s="20"/>
      <c r="C57" s="3"/>
      <c r="D57" s="3"/>
      <c r="E57" s="3"/>
      <c r="F57" s="19"/>
      <c r="G57" s="374"/>
    </row>
    <row r="58" spans="1:7" x14ac:dyDescent="0.25">
      <c r="A58" s="374"/>
      <c r="B58" s="58" t="s">
        <v>130</v>
      </c>
      <c r="C58" s="59"/>
      <c r="D58" s="59"/>
      <c r="E58" s="59"/>
      <c r="F58" s="60"/>
      <c r="G58" s="374"/>
    </row>
    <row r="59" spans="1:7" x14ac:dyDescent="0.25">
      <c r="A59" s="374"/>
      <c r="B59" s="18"/>
      <c r="C59" s="3"/>
      <c r="D59" s="3"/>
      <c r="E59" s="3"/>
      <c r="F59" s="19"/>
      <c r="G59" s="374"/>
    </row>
    <row r="60" spans="1:7" x14ac:dyDescent="0.25">
      <c r="A60" s="374"/>
      <c r="B60" s="13" t="s">
        <v>86</v>
      </c>
      <c r="C60" s="2"/>
      <c r="D60" s="2"/>
      <c r="E60" s="2"/>
      <c r="F60" s="14"/>
      <c r="G60" s="374"/>
    </row>
    <row r="61" spans="1:7" x14ac:dyDescent="0.25">
      <c r="A61" s="374"/>
      <c r="B61" s="20"/>
      <c r="C61" s="3" t="s">
        <v>87</v>
      </c>
      <c r="D61" s="4">
        <f>'FY2019 Approved Budget'!C61</f>
        <v>450</v>
      </c>
      <c r="E61" s="4">
        <f>SUMIFS(TraFY2019Jul[[ Amount]],TraFY2019Jul[[ Acct Desc]], "Teleph*")</f>
        <v>0</v>
      </c>
      <c r="F61" s="15">
        <f t="shared" ref="F61:F63" si="3">(D61-E61)</f>
        <v>450</v>
      </c>
      <c r="G61" s="374"/>
    </row>
    <row r="62" spans="1:7" x14ac:dyDescent="0.25">
      <c r="A62" s="374"/>
      <c r="B62" s="20"/>
      <c r="C62" s="3" t="s">
        <v>88</v>
      </c>
      <c r="D62" s="4">
        <f>'FY2019 Approved Budget'!C62</f>
        <v>1000</v>
      </c>
      <c r="E62" s="4">
        <f>SUMIFS(TraFY2019Jul[[ Amount]],TraFY2019Jul[[ Acct Desc]], "*Supplies*") + SUMIFS(TraFY2019Jul[[ Amount]],TraFY2019Jul[[ Acct Desc]], "*Pcard*") + SUMIFS(TraFY2019Jul[[ Amount]],TraFY2019Jul[[ Acct Desc]], "*Printing*")</f>
        <v>216.4</v>
      </c>
      <c r="F62" s="15">
        <f t="shared" si="3"/>
        <v>783.6</v>
      </c>
      <c r="G62" s="374"/>
    </row>
    <row r="63" spans="1:7" x14ac:dyDescent="0.25">
      <c r="A63" s="374"/>
      <c r="B63" s="20"/>
      <c r="C63" s="3" t="s">
        <v>1983</v>
      </c>
      <c r="D63" s="4">
        <f>'FY2019 Approved Budget'!C63</f>
        <v>250</v>
      </c>
      <c r="E63" s="4">
        <v>0</v>
      </c>
      <c r="F63" s="15">
        <f t="shared" si="3"/>
        <v>250</v>
      </c>
      <c r="G63" s="374"/>
    </row>
    <row r="64" spans="1:7" x14ac:dyDescent="0.25">
      <c r="A64" s="374"/>
      <c r="B64" s="16" t="s">
        <v>89</v>
      </c>
      <c r="C64" s="2"/>
      <c r="D64" s="5">
        <f>'FY2019 Approved Budget'!C64</f>
        <v>1700</v>
      </c>
      <c r="E64" s="6">
        <f>SUM(E61:E62)</f>
        <v>216.4</v>
      </c>
      <c r="F64" s="21">
        <f>(D64-E64)</f>
        <v>1483.6</v>
      </c>
      <c r="G64" s="374"/>
    </row>
    <row r="65" spans="1:7" x14ac:dyDescent="0.25">
      <c r="A65" s="374"/>
      <c r="B65" s="20"/>
      <c r="C65" s="3"/>
      <c r="D65" s="3"/>
      <c r="E65" s="3"/>
      <c r="F65" s="19"/>
      <c r="G65" s="374"/>
    </row>
    <row r="66" spans="1:7" x14ac:dyDescent="0.25">
      <c r="A66" s="374"/>
      <c r="B66" s="13" t="s">
        <v>90</v>
      </c>
      <c r="C66" s="2"/>
      <c r="D66" s="2"/>
      <c r="E66" s="2"/>
      <c r="F66" s="14"/>
      <c r="G66" s="374"/>
    </row>
    <row r="67" spans="1:7" x14ac:dyDescent="0.25">
      <c r="A67" s="374"/>
      <c r="B67" s="20"/>
      <c r="C67" s="3" t="s">
        <v>91</v>
      </c>
      <c r="D67" s="4">
        <f>'FY2019 Approved Budget'!C67</f>
        <v>119.4</v>
      </c>
      <c r="E67" s="4">
        <f>SUMIFS(TraFY2019Jul[[ Amount]],TraFY2019Jul[[ Acct Desc]], "Internet Service") + SUMIFS(TraFY2019Jul[[ Amount]],TraFY2019Jul[[ Acct Desc]], "Software Subscriptions")</f>
        <v>0</v>
      </c>
      <c r="F67" s="15">
        <f t="shared" ref="F67:F70" si="4">(D67-E67)</f>
        <v>119.4</v>
      </c>
      <c r="G67" s="374"/>
    </row>
    <row r="68" spans="1:7" x14ac:dyDescent="0.25">
      <c r="A68" s="374"/>
      <c r="B68" s="20"/>
      <c r="C68" s="3" t="s">
        <v>1984</v>
      </c>
      <c r="D68" s="4">
        <f>'FY2019 Approved Budget'!C68</f>
        <v>100</v>
      </c>
      <c r="E68" s="4">
        <v>0</v>
      </c>
      <c r="F68" s="15">
        <f t="shared" si="4"/>
        <v>100</v>
      </c>
      <c r="G68" s="374"/>
    </row>
    <row r="69" spans="1:7" x14ac:dyDescent="0.25">
      <c r="A69" s="374"/>
      <c r="B69" s="20"/>
      <c r="C69" s="3" t="s">
        <v>1986</v>
      </c>
      <c r="D69" s="4">
        <f>'FY2019 Approved Budget'!C69</f>
        <v>700</v>
      </c>
      <c r="E69" s="4">
        <v>0</v>
      </c>
      <c r="F69" s="15">
        <f t="shared" si="4"/>
        <v>700</v>
      </c>
      <c r="G69" s="374"/>
    </row>
    <row r="70" spans="1:7" x14ac:dyDescent="0.25">
      <c r="A70" s="374"/>
      <c r="B70" s="20"/>
      <c r="C70" s="3" t="s">
        <v>1985</v>
      </c>
      <c r="D70" s="4">
        <f>'FY2019 Approved Budget'!C70</f>
        <v>1000</v>
      </c>
      <c r="E70" s="4">
        <v>0</v>
      </c>
      <c r="F70" s="15">
        <f t="shared" si="4"/>
        <v>1000</v>
      </c>
      <c r="G70" s="374"/>
    </row>
    <row r="71" spans="1:7" x14ac:dyDescent="0.25">
      <c r="A71" s="374"/>
      <c r="B71" s="16" t="s">
        <v>94</v>
      </c>
      <c r="C71" s="2"/>
      <c r="D71" s="5">
        <f>'FY2019 Approved Budget'!C71</f>
        <v>1919.4</v>
      </c>
      <c r="E71" s="6">
        <f>SUM(E67:E70)</f>
        <v>0</v>
      </c>
      <c r="F71" s="21">
        <f>(D71-E71)</f>
        <v>1919.4</v>
      </c>
      <c r="G71" s="374"/>
    </row>
    <row r="72" spans="1:7" x14ac:dyDescent="0.25">
      <c r="A72" s="374"/>
      <c r="B72" s="20"/>
      <c r="C72" s="3"/>
      <c r="D72" s="3"/>
      <c r="E72" s="3"/>
      <c r="F72" s="19"/>
      <c r="G72" s="374"/>
    </row>
    <row r="73" spans="1:7" x14ac:dyDescent="0.25">
      <c r="A73" s="374"/>
      <c r="B73" s="61" t="s">
        <v>95</v>
      </c>
      <c r="C73" s="62"/>
      <c r="D73" s="63">
        <f>'FY2019 Approved Budget'!C73</f>
        <v>3619.4</v>
      </c>
      <c r="E73" s="64">
        <f>SUM(E64, E71)</f>
        <v>216.4</v>
      </c>
      <c r="F73" s="65">
        <f>(D73-E73)</f>
        <v>3403</v>
      </c>
      <c r="G73" s="374"/>
    </row>
    <row r="74" spans="1:7" x14ac:dyDescent="0.25">
      <c r="A74" s="374"/>
      <c r="B74" s="20"/>
      <c r="C74" s="3"/>
      <c r="D74" s="3"/>
      <c r="E74" s="3"/>
      <c r="F74" s="19"/>
      <c r="G74" s="374"/>
    </row>
    <row r="75" spans="1:7" x14ac:dyDescent="0.25">
      <c r="A75" s="374"/>
      <c r="B75" s="51" t="s">
        <v>96</v>
      </c>
      <c r="C75" s="52"/>
      <c r="D75" s="52"/>
      <c r="E75" s="52"/>
      <c r="F75" s="53"/>
      <c r="G75" s="374"/>
    </row>
    <row r="76" spans="1:7" x14ac:dyDescent="0.25">
      <c r="A76" s="374"/>
      <c r="B76" s="18"/>
      <c r="C76" s="3"/>
      <c r="D76" s="3"/>
      <c r="E76" s="3"/>
      <c r="F76" s="19"/>
      <c r="G76" s="374"/>
    </row>
    <row r="77" spans="1:7" x14ac:dyDescent="0.25">
      <c r="A77" s="374"/>
      <c r="B77" s="13" t="s">
        <v>97</v>
      </c>
      <c r="C77" s="2"/>
      <c r="D77" s="2"/>
      <c r="E77" s="2"/>
      <c r="F77" s="14"/>
      <c r="G77" s="374"/>
    </row>
    <row r="78" spans="1:7" x14ac:dyDescent="0.25">
      <c r="A78" s="374"/>
      <c r="B78" s="20"/>
      <c r="C78" s="3" t="s">
        <v>1991</v>
      </c>
      <c r="D78" s="4">
        <f>'FY2019 Approved Budget'!C78</f>
        <v>45000</v>
      </c>
      <c r="E78" s="4">
        <v>0</v>
      </c>
      <c r="F78" s="15">
        <f>(D78-E78)</f>
        <v>45000</v>
      </c>
      <c r="G78" s="374"/>
    </row>
    <row r="79" spans="1:7" x14ac:dyDescent="0.25">
      <c r="A79" s="374"/>
      <c r="B79" s="16" t="s">
        <v>101</v>
      </c>
      <c r="C79" s="2"/>
      <c r="D79" s="5">
        <f>'FY2019 Approved Budget'!C79</f>
        <v>45000</v>
      </c>
      <c r="E79" s="6">
        <f>SUM(E78:E78)</f>
        <v>0</v>
      </c>
      <c r="F79" s="21">
        <f>(D79-E79)</f>
        <v>45000</v>
      </c>
      <c r="G79" s="374"/>
    </row>
    <row r="80" spans="1:7" x14ac:dyDescent="0.25">
      <c r="A80" s="374"/>
      <c r="B80" s="20"/>
      <c r="C80" s="3"/>
      <c r="D80" s="3"/>
      <c r="E80" s="3"/>
      <c r="F80" s="19"/>
      <c r="G80" s="374"/>
    </row>
    <row r="81" spans="1:7" x14ac:dyDescent="0.25">
      <c r="A81" s="374"/>
      <c r="B81" s="13" t="s">
        <v>102</v>
      </c>
      <c r="C81" s="2"/>
      <c r="D81" s="2"/>
      <c r="E81" s="2"/>
      <c r="F81" s="14"/>
      <c r="G81" s="374"/>
    </row>
    <row r="82" spans="1:7" x14ac:dyDescent="0.25">
      <c r="A82" s="374"/>
      <c r="B82" s="20"/>
      <c r="C82" s="3" t="s">
        <v>103</v>
      </c>
      <c r="D82" s="4">
        <f>'FY2019 Approved Budget'!C82</f>
        <v>4500</v>
      </c>
      <c r="E82" s="4">
        <f>SUMIFS(TraFY2019Jul[[ Amount]],TraFY2019Jul[[ Acct Desc]], "*Ground") + SUMIFS(TraFY2019Jul[[ Amount]],TraFY2019Jul[[ Acct Desc]], "*Meal*") + SUMIFS(TraFY2019Jul[[ Amount]],TraFY2019Jul[[ Acct Desc]], "*Lodging")</f>
        <v>65.2</v>
      </c>
      <c r="F82" s="15">
        <f t="shared" ref="F82:F84" si="5">(D82-E82)</f>
        <v>4434.8</v>
      </c>
      <c r="G82" s="374"/>
    </row>
    <row r="83" spans="1:7" x14ac:dyDescent="0.25">
      <c r="A83" s="374"/>
      <c r="B83" s="20"/>
      <c r="C83" s="3" t="s">
        <v>1987</v>
      </c>
      <c r="D83" s="4">
        <f>'FY2019 Approved Budget'!C83</f>
        <v>2500</v>
      </c>
      <c r="E83" s="4">
        <v>0</v>
      </c>
      <c r="F83" s="15">
        <v>0</v>
      </c>
      <c r="G83" s="374"/>
    </row>
    <row r="84" spans="1:7" x14ac:dyDescent="0.25">
      <c r="A84" s="374"/>
      <c r="B84" s="20"/>
      <c r="C84" s="3" t="s">
        <v>1988</v>
      </c>
      <c r="D84" s="4">
        <f>'FY2019 Approved Budget'!C84</f>
        <v>200</v>
      </c>
      <c r="E84" s="4">
        <v>0</v>
      </c>
      <c r="F84" s="15">
        <f t="shared" si="5"/>
        <v>200</v>
      </c>
      <c r="G84" s="374"/>
    </row>
    <row r="85" spans="1:7" x14ac:dyDescent="0.25">
      <c r="A85" s="374"/>
      <c r="B85" s="16" t="s">
        <v>105</v>
      </c>
      <c r="C85" s="2"/>
      <c r="D85" s="5">
        <f>'FY2019 Approved Budget'!C85</f>
        <v>7200</v>
      </c>
      <c r="E85" s="6">
        <f>SUM(E82:E84)</f>
        <v>65.2</v>
      </c>
      <c r="F85" s="21">
        <f>(D85-E85)</f>
        <v>7134.8</v>
      </c>
      <c r="G85" s="374"/>
    </row>
    <row r="86" spans="1:7" x14ac:dyDescent="0.25">
      <c r="A86" s="374"/>
      <c r="B86" s="20"/>
      <c r="C86" s="3"/>
      <c r="D86" s="3"/>
      <c r="E86" s="3"/>
      <c r="F86" s="19"/>
      <c r="G86" s="374"/>
    </row>
    <row r="87" spans="1:7" x14ac:dyDescent="0.25">
      <c r="A87" s="374"/>
      <c r="B87" s="54" t="s">
        <v>106</v>
      </c>
      <c r="C87" s="55"/>
      <c r="D87" s="56">
        <f>'FY2019 Approved Budget'!C87</f>
        <v>52200</v>
      </c>
      <c r="E87" s="56">
        <f>SUM(E79, E85)</f>
        <v>65.2</v>
      </c>
      <c r="F87" s="57">
        <f>(D87-E87)</f>
        <v>52134.8</v>
      </c>
      <c r="G87" s="374"/>
    </row>
    <row r="88" spans="1:7" x14ac:dyDescent="0.25">
      <c r="A88" s="374"/>
      <c r="B88" s="20"/>
      <c r="C88" s="3"/>
      <c r="D88" s="3"/>
      <c r="E88" s="3"/>
      <c r="F88" s="19"/>
      <c r="G88" s="374"/>
    </row>
    <row r="89" spans="1:7" x14ac:dyDescent="0.25">
      <c r="A89" s="374"/>
      <c r="B89" s="44" t="s">
        <v>107</v>
      </c>
      <c r="C89" s="45"/>
      <c r="D89" s="45"/>
      <c r="E89" s="45"/>
      <c r="F89" s="46"/>
      <c r="G89" s="374"/>
    </row>
    <row r="90" spans="1:7" x14ac:dyDescent="0.25">
      <c r="A90" s="374"/>
      <c r="B90" s="18"/>
      <c r="C90" s="3"/>
      <c r="D90" s="3"/>
      <c r="E90" s="3"/>
      <c r="F90" s="19"/>
      <c r="G90" s="374"/>
    </row>
    <row r="91" spans="1:7" x14ac:dyDescent="0.25">
      <c r="A91" s="374"/>
      <c r="B91" s="13" t="s">
        <v>108</v>
      </c>
      <c r="C91" s="2"/>
      <c r="D91" s="2"/>
      <c r="E91" s="2"/>
      <c r="F91" s="14"/>
      <c r="G91" s="374"/>
    </row>
    <row r="92" spans="1:7" x14ac:dyDescent="0.25">
      <c r="A92" s="374"/>
      <c r="B92" s="20"/>
      <c r="C92" s="3" t="s">
        <v>109</v>
      </c>
      <c r="D92" s="4">
        <f>'FY2019 Approved Budget'!C92</f>
        <v>9000</v>
      </c>
      <c r="E92" s="4">
        <v>0</v>
      </c>
      <c r="F92" s="15">
        <f t="shared" ref="F92" si="6">(D92-E92)</f>
        <v>9000</v>
      </c>
      <c r="G92" s="374"/>
    </row>
    <row r="93" spans="1:7" x14ac:dyDescent="0.25">
      <c r="A93" s="374"/>
      <c r="B93" s="20"/>
      <c r="C93" s="3" t="s">
        <v>1990</v>
      </c>
      <c r="D93" s="4">
        <f>'FY2019 Approved Budget'!C93</f>
        <v>0</v>
      </c>
      <c r="E93" s="4">
        <v>0</v>
      </c>
      <c r="F93" s="15">
        <v>0</v>
      </c>
      <c r="G93" s="374"/>
    </row>
    <row r="94" spans="1:7" x14ac:dyDescent="0.25">
      <c r="A94" s="374"/>
      <c r="B94" s="16" t="s">
        <v>110</v>
      </c>
      <c r="C94" s="2"/>
      <c r="D94" s="5">
        <f>'FY2019 Approved Budget'!C94</f>
        <v>9000</v>
      </c>
      <c r="E94" s="6">
        <f>SUM(E92:E92)</f>
        <v>0</v>
      </c>
      <c r="F94" s="21">
        <f>(D94-E94)</f>
        <v>9000</v>
      </c>
      <c r="G94" s="374"/>
    </row>
    <row r="95" spans="1:7" x14ac:dyDescent="0.25">
      <c r="A95" s="374"/>
      <c r="B95" s="20"/>
      <c r="C95" s="3"/>
      <c r="D95" s="3"/>
      <c r="E95" s="3"/>
      <c r="F95" s="19"/>
      <c r="G95" s="374"/>
    </row>
    <row r="96" spans="1:7" x14ac:dyDescent="0.25">
      <c r="A96" s="374"/>
      <c r="B96" s="13" t="s">
        <v>111</v>
      </c>
      <c r="C96" s="2"/>
      <c r="D96" s="2"/>
      <c r="E96" s="2"/>
      <c r="F96" s="14"/>
      <c r="G96" s="374"/>
    </row>
    <row r="97" spans="1:7" x14ac:dyDescent="0.25">
      <c r="A97" s="374"/>
      <c r="B97" s="20"/>
      <c r="C97" s="3" t="s">
        <v>112</v>
      </c>
      <c r="D97" s="4">
        <f>'FY2019 Approved Budget'!C97</f>
        <v>60000</v>
      </c>
      <c r="E97" s="4">
        <f>SUMIFS(TraFY2019Jul[[ Amount]],TraFY2019Jul[[ Acct Desc]], "Transfer Out*")</f>
        <v>0</v>
      </c>
      <c r="F97" s="15">
        <f t="shared" ref="F97" si="7">(D97-E97)</f>
        <v>60000</v>
      </c>
      <c r="G97" s="374"/>
    </row>
    <row r="98" spans="1:7" x14ac:dyDescent="0.25">
      <c r="A98" s="374"/>
      <c r="B98" s="16" t="s">
        <v>113</v>
      </c>
      <c r="C98" s="2"/>
      <c r="D98" s="5">
        <f>'FY2019 Approved Budget'!C98</f>
        <v>60000</v>
      </c>
      <c r="E98" s="6">
        <f>SUM(E97:E97)</f>
        <v>0</v>
      </c>
      <c r="F98" s="21">
        <f>(D98-E98)</f>
        <v>60000</v>
      </c>
      <c r="G98" s="374"/>
    </row>
    <row r="99" spans="1:7" x14ac:dyDescent="0.25">
      <c r="A99" s="374"/>
      <c r="B99" s="22"/>
      <c r="C99" s="3"/>
      <c r="D99" s="3"/>
      <c r="E99" s="3"/>
      <c r="F99" s="19"/>
      <c r="G99" s="374"/>
    </row>
    <row r="100" spans="1:7" x14ac:dyDescent="0.25">
      <c r="A100" s="374"/>
      <c r="B100" s="13" t="s">
        <v>114</v>
      </c>
      <c r="C100" s="2"/>
      <c r="D100" s="2"/>
      <c r="E100" s="2"/>
      <c r="F100" s="14"/>
      <c r="G100" s="374"/>
    </row>
    <row r="101" spans="1:7" x14ac:dyDescent="0.25">
      <c r="A101" s="374"/>
      <c r="B101" s="20"/>
      <c r="C101" s="3" t="s">
        <v>115</v>
      </c>
      <c r="D101" s="4">
        <f>'FY2019 Approved Budget'!C101</f>
        <v>9000</v>
      </c>
      <c r="E101" s="4">
        <v>0</v>
      </c>
      <c r="F101" s="15">
        <f t="shared" ref="F101" si="8">(D101-E101)</f>
        <v>9000</v>
      </c>
      <c r="G101" s="374"/>
    </row>
    <row r="102" spans="1:7" x14ac:dyDescent="0.25">
      <c r="A102" s="374"/>
      <c r="B102" s="16" t="s">
        <v>116</v>
      </c>
      <c r="C102" s="2"/>
      <c r="D102" s="5">
        <f>'FY2019 Approved Budget'!C102</f>
        <v>9000</v>
      </c>
      <c r="E102" s="6">
        <f>SUM(E101:E101)</f>
        <v>0</v>
      </c>
      <c r="F102" s="21">
        <f>(D102-E102)</f>
        <v>9000</v>
      </c>
      <c r="G102" s="374"/>
    </row>
    <row r="103" spans="1:7" x14ac:dyDescent="0.25">
      <c r="A103" s="374"/>
      <c r="B103" s="20"/>
      <c r="C103" s="3"/>
      <c r="D103" s="3"/>
      <c r="E103" s="3"/>
      <c r="F103" s="19"/>
      <c r="G103" s="374"/>
    </row>
    <row r="104" spans="1:7" x14ac:dyDescent="0.25">
      <c r="A104" s="374"/>
      <c r="B104" s="13" t="s">
        <v>117</v>
      </c>
      <c r="C104" s="2"/>
      <c r="D104" s="2"/>
      <c r="E104" s="2"/>
      <c r="F104" s="14"/>
      <c r="G104" s="374"/>
    </row>
    <row r="105" spans="1:7" x14ac:dyDescent="0.25">
      <c r="A105" s="374"/>
      <c r="B105" s="20"/>
      <c r="C105" s="3" t="s">
        <v>1989</v>
      </c>
      <c r="D105" s="4">
        <f>'FY2019 Approved Budget'!C105</f>
        <v>4500</v>
      </c>
      <c r="E105" s="4">
        <v>0</v>
      </c>
      <c r="F105" s="15">
        <f t="shared" ref="F105" si="9">(D105-E105)</f>
        <v>4500</v>
      </c>
      <c r="G105" s="374"/>
    </row>
    <row r="106" spans="1:7" x14ac:dyDescent="0.25">
      <c r="A106" s="374"/>
      <c r="B106" s="16" t="s">
        <v>121</v>
      </c>
      <c r="C106" s="2"/>
      <c r="D106" s="5">
        <f>'FY2019 Approved Budget'!C106</f>
        <v>4500</v>
      </c>
      <c r="E106" s="6">
        <f>SUM(E105:E105)</f>
        <v>0</v>
      </c>
      <c r="F106" s="21">
        <f>(D106-E106)</f>
        <v>4500</v>
      </c>
      <c r="G106" s="374"/>
    </row>
    <row r="107" spans="1:7" x14ac:dyDescent="0.25">
      <c r="A107" s="374"/>
      <c r="B107" s="20"/>
      <c r="C107" s="3"/>
      <c r="D107" s="3"/>
      <c r="E107" s="3"/>
      <c r="F107" s="19"/>
      <c r="G107" s="374"/>
    </row>
    <row r="108" spans="1:7" x14ac:dyDescent="0.25">
      <c r="A108" s="374"/>
      <c r="B108" s="47" t="s">
        <v>167</v>
      </c>
      <c r="C108" s="48"/>
      <c r="D108" s="49">
        <f>'FY2019 Approved Budget'!C108</f>
        <v>82500</v>
      </c>
      <c r="E108" s="49">
        <f>SUM(E94, E98, E102, E106)</f>
        <v>0</v>
      </c>
      <c r="F108" s="50">
        <f>(D108-E108)</f>
        <v>82500</v>
      </c>
      <c r="G108" s="374"/>
    </row>
    <row r="109" spans="1:7" x14ac:dyDescent="0.25">
      <c r="A109" s="374"/>
      <c r="B109" s="20"/>
      <c r="C109" s="3"/>
      <c r="D109" s="3"/>
      <c r="E109" s="3"/>
      <c r="F109" s="19"/>
      <c r="G109" s="374"/>
    </row>
    <row r="110" spans="1:7" x14ac:dyDescent="0.25">
      <c r="A110" s="374"/>
      <c r="B110" s="38" t="s">
        <v>131</v>
      </c>
      <c r="C110" s="39"/>
      <c r="D110" s="39"/>
      <c r="E110" s="39"/>
      <c r="F110" s="40"/>
      <c r="G110" s="374"/>
    </row>
    <row r="111" spans="1:7" x14ac:dyDescent="0.25">
      <c r="A111" s="374"/>
      <c r="B111" s="18"/>
      <c r="C111" s="3"/>
      <c r="D111" s="3"/>
      <c r="E111" s="3"/>
      <c r="F111" s="19"/>
      <c r="G111" s="374"/>
    </row>
    <row r="112" spans="1:7" x14ac:dyDescent="0.25">
      <c r="A112" s="374"/>
      <c r="B112" s="13" t="s">
        <v>122</v>
      </c>
      <c r="C112" s="2"/>
      <c r="D112" s="2"/>
      <c r="E112" s="2"/>
      <c r="F112" s="14"/>
      <c r="G112" s="374"/>
    </row>
    <row r="113" spans="1:7" x14ac:dyDescent="0.25">
      <c r="A113" s="374"/>
      <c r="B113" s="20"/>
      <c r="C113" s="3" t="s">
        <v>123</v>
      </c>
      <c r="D113" s="4">
        <f>'FY2019 Approved Budget'!C113</f>
        <v>24200</v>
      </c>
      <c r="E113" s="4">
        <f>SUMIFS(TraFY2019Jul[[ Amount]],TraFY2019Jul[[ Acct Desc]], "Fiscal Agent*")</f>
        <v>0</v>
      </c>
      <c r="F113" s="15">
        <f t="shared" ref="F113" si="10">(D113-E113)</f>
        <v>24200</v>
      </c>
      <c r="G113" s="374"/>
    </row>
    <row r="114" spans="1:7" x14ac:dyDescent="0.25">
      <c r="A114" s="374"/>
      <c r="B114" s="16" t="s">
        <v>124</v>
      </c>
      <c r="C114" s="2"/>
      <c r="D114" s="5">
        <f>'FY2019 Approved Budget'!C114</f>
        <v>24200</v>
      </c>
      <c r="E114" s="6">
        <f>SUM(E113:E113)</f>
        <v>0</v>
      </c>
      <c r="F114" s="21">
        <f>(D114-E114)</f>
        <v>24200</v>
      </c>
      <c r="G114" s="374"/>
    </row>
    <row r="115" spans="1:7" x14ac:dyDescent="0.25">
      <c r="A115" s="374"/>
      <c r="B115" s="20"/>
      <c r="C115" s="3"/>
      <c r="D115" s="3"/>
      <c r="E115" s="3"/>
      <c r="F115" s="19"/>
      <c r="G115" s="374"/>
    </row>
    <row r="116" spans="1:7" x14ac:dyDescent="0.25">
      <c r="A116" s="374"/>
      <c r="B116" s="37" t="s">
        <v>125</v>
      </c>
      <c r="C116" s="41"/>
      <c r="D116" s="42">
        <f>'FY2019 Approved Budget'!C116</f>
        <v>24200</v>
      </c>
      <c r="E116" s="42">
        <f>SUM(E114)</f>
        <v>0</v>
      </c>
      <c r="F116" s="43">
        <f>(D116-E116)</f>
        <v>24200</v>
      </c>
      <c r="G116" s="374"/>
    </row>
    <row r="117" spans="1:7" x14ac:dyDescent="0.25">
      <c r="A117" s="374"/>
      <c r="B117" s="23"/>
      <c r="C117" s="7"/>
      <c r="D117" s="7"/>
      <c r="E117" s="7"/>
      <c r="F117" s="24"/>
      <c r="G117" s="374"/>
    </row>
    <row r="118" spans="1:7" x14ac:dyDescent="0.25">
      <c r="A118" s="374"/>
      <c r="B118" s="23"/>
      <c r="C118" s="7"/>
      <c r="D118" s="7"/>
      <c r="E118" s="7"/>
      <c r="F118" s="24"/>
      <c r="G118" s="374"/>
    </row>
    <row r="119" spans="1:7" ht="15.75" x14ac:dyDescent="0.25">
      <c r="A119" s="374"/>
      <c r="B119" s="25" t="s">
        <v>126</v>
      </c>
      <c r="C119" s="8"/>
      <c r="D119" s="9"/>
      <c r="E119" s="10">
        <f>SUM(E26)</f>
        <v>0</v>
      </c>
      <c r="F119" s="26"/>
      <c r="G119" s="374"/>
    </row>
    <row r="120" spans="1:7" ht="15.75" x14ac:dyDescent="0.25">
      <c r="A120" s="374"/>
      <c r="B120" s="25" t="s">
        <v>127</v>
      </c>
      <c r="C120" s="8"/>
      <c r="D120" s="9"/>
      <c r="E120" s="10">
        <f>SUM(E56, E73, E87, E108, E116)</f>
        <v>9404.59</v>
      </c>
      <c r="F120" s="26"/>
      <c r="G120" s="374"/>
    </row>
    <row r="121" spans="1:7" ht="16.5" thickBot="1" x14ac:dyDescent="0.3">
      <c r="A121" s="374"/>
      <c r="B121" s="27" t="s">
        <v>128</v>
      </c>
      <c r="C121" s="28"/>
      <c r="D121" s="29"/>
      <c r="E121" s="30">
        <f>(E119-E120)</f>
        <v>-9404.59</v>
      </c>
      <c r="F121" s="31"/>
      <c r="G121" s="374"/>
    </row>
    <row r="122" spans="1:7" ht="15.75" thickBot="1" x14ac:dyDescent="0.3">
      <c r="A122" s="375" t="b">
        <f>IF(($E$119+$E$120)=(SUM('FY2019 July Transactions'!E:E)),TRUE,FALSE)</f>
        <v>1</v>
      </c>
      <c r="B122" s="376"/>
      <c r="C122" s="376"/>
      <c r="D122" s="376"/>
      <c r="E122" s="376"/>
      <c r="F122" s="376"/>
      <c r="G122" s="377"/>
    </row>
    <row r="123" spans="1:7" x14ac:dyDescent="0.25">
      <c r="D123" s="93"/>
    </row>
  </sheetData>
  <mergeCells count="7">
    <mergeCell ref="A122:G122"/>
    <mergeCell ref="A1:G1"/>
    <mergeCell ref="A2:A121"/>
    <mergeCell ref="B2:F3"/>
    <mergeCell ref="G2:G121"/>
    <mergeCell ref="B6:F6"/>
    <mergeCell ref="B28:F28"/>
  </mergeCells>
  <conditionalFormatting sqref="A1">
    <cfRule type="cellIs" dxfId="250" priority="4" operator="equal">
      <formula>TRUE</formula>
    </cfRule>
  </conditionalFormatting>
  <conditionalFormatting sqref="A1:A121 G2:G121">
    <cfRule type="cellIs" dxfId="249" priority="3" operator="equal">
      <formula>FALSE</formula>
    </cfRule>
  </conditionalFormatting>
  <conditionalFormatting sqref="A122:G122 G2:G121 A2:A121">
    <cfRule type="cellIs" dxfId="248" priority="2" operator="equal">
      <formula>TRUE</formula>
    </cfRule>
  </conditionalFormatting>
  <conditionalFormatting sqref="A122:G122">
    <cfRule type="cellIs" dxfId="247" priority="1" operator="equal">
      <formula>FALSE</formula>
    </cfRule>
  </conditionalFormatting>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8982D-C6B0-4CBE-8B6F-28002A8A94F2}">
  <dimension ref="A1:F13"/>
  <sheetViews>
    <sheetView workbookViewId="0">
      <selection activeCell="B6" sqref="B6"/>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526742</v>
      </c>
      <c r="B2" s="35" t="s">
        <v>26</v>
      </c>
      <c r="C2" s="35" t="s">
        <v>309</v>
      </c>
      <c r="D2" s="35" t="s">
        <v>1374</v>
      </c>
      <c r="E2" s="35">
        <v>65.2</v>
      </c>
      <c r="F2" s="34">
        <v>43282</v>
      </c>
    </row>
    <row r="3" spans="1:6" ht="15.75" x14ac:dyDescent="0.25">
      <c r="A3" s="35">
        <v>526742</v>
      </c>
      <c r="B3" s="35" t="s">
        <v>26</v>
      </c>
      <c r="C3" s="35" t="s">
        <v>309</v>
      </c>
      <c r="D3" s="35" t="s">
        <v>1374</v>
      </c>
      <c r="E3" s="35">
        <v>65.2</v>
      </c>
      <c r="F3" s="34">
        <v>43282</v>
      </c>
    </row>
    <row r="4" spans="1:6" ht="15.75" x14ac:dyDescent="0.25">
      <c r="A4" s="35">
        <v>526742</v>
      </c>
      <c r="B4" s="35" t="s">
        <v>26</v>
      </c>
      <c r="C4" s="35" t="s">
        <v>309</v>
      </c>
      <c r="D4" s="35" t="s">
        <v>1374</v>
      </c>
      <c r="E4" s="35">
        <v>-65.2</v>
      </c>
      <c r="F4" s="34">
        <v>43294</v>
      </c>
    </row>
    <row r="5" spans="1:6" ht="15.75" x14ac:dyDescent="0.25">
      <c r="A5" s="35">
        <v>527510</v>
      </c>
      <c r="B5" s="35" t="s">
        <v>671</v>
      </c>
      <c r="C5" s="35" t="s">
        <v>711</v>
      </c>
      <c r="D5" s="35" t="s">
        <v>1375</v>
      </c>
      <c r="E5" s="35">
        <v>216.4</v>
      </c>
      <c r="F5" s="34">
        <v>43300</v>
      </c>
    </row>
    <row r="6" spans="1:6" ht="15.75" x14ac:dyDescent="0.25">
      <c r="A6" s="35">
        <v>558979</v>
      </c>
      <c r="B6" s="35" t="s">
        <v>150</v>
      </c>
      <c r="C6" s="35" t="s">
        <v>789</v>
      </c>
      <c r="D6" s="35" t="s">
        <v>1376</v>
      </c>
      <c r="E6" s="35">
        <v>333.34</v>
      </c>
      <c r="F6" s="34">
        <v>43304</v>
      </c>
    </row>
    <row r="7" spans="1:6" ht="15.75" x14ac:dyDescent="0.25">
      <c r="A7" s="35">
        <v>558979</v>
      </c>
      <c r="B7" s="35" t="s">
        <v>150</v>
      </c>
      <c r="C7" s="35" t="s">
        <v>309</v>
      </c>
      <c r="D7" s="35" t="s">
        <v>1377</v>
      </c>
      <c r="E7" s="35">
        <v>541.66999999999996</v>
      </c>
      <c r="F7" s="34">
        <v>43304</v>
      </c>
    </row>
    <row r="8" spans="1:6" ht="15.75" x14ac:dyDescent="0.25">
      <c r="A8" s="35">
        <v>515130</v>
      </c>
      <c r="B8" s="35" t="s">
        <v>10</v>
      </c>
      <c r="C8" s="35" t="s">
        <v>7</v>
      </c>
      <c r="D8" s="35" t="s">
        <v>1378</v>
      </c>
      <c r="E8" s="35">
        <v>91.44</v>
      </c>
      <c r="F8" s="34">
        <v>43312</v>
      </c>
    </row>
    <row r="9" spans="1:6" ht="15.75" x14ac:dyDescent="0.25">
      <c r="A9" s="35">
        <v>515120</v>
      </c>
      <c r="B9" s="35" t="s">
        <v>9</v>
      </c>
      <c r="C9" s="35" t="s">
        <v>7</v>
      </c>
      <c r="D9" s="35" t="s">
        <v>1378</v>
      </c>
      <c r="E9" s="35">
        <v>390.98</v>
      </c>
      <c r="F9" s="34">
        <v>43312</v>
      </c>
    </row>
    <row r="10" spans="1:6" ht="15.75" x14ac:dyDescent="0.25">
      <c r="A10" s="35">
        <v>515420</v>
      </c>
      <c r="B10" s="35" t="s">
        <v>12</v>
      </c>
      <c r="C10" s="35" t="s">
        <v>7</v>
      </c>
      <c r="D10" s="35" t="s">
        <v>1378</v>
      </c>
      <c r="E10" s="35">
        <v>411.31</v>
      </c>
      <c r="F10" s="34">
        <v>43312</v>
      </c>
    </row>
    <row r="11" spans="1:6" ht="15.75" x14ac:dyDescent="0.25">
      <c r="A11" s="35">
        <v>515410</v>
      </c>
      <c r="B11" s="35" t="s">
        <v>11</v>
      </c>
      <c r="C11" s="35" t="s">
        <v>7</v>
      </c>
      <c r="D11" s="35" t="s">
        <v>1378</v>
      </c>
      <c r="E11" s="35">
        <v>438.9</v>
      </c>
      <c r="F11" s="34">
        <v>43312</v>
      </c>
    </row>
    <row r="12" spans="1:6" ht="15.75" x14ac:dyDescent="0.25">
      <c r="A12" s="35">
        <v>515530</v>
      </c>
      <c r="B12" s="35" t="s">
        <v>13</v>
      </c>
      <c r="C12" s="35" t="s">
        <v>7</v>
      </c>
      <c r="D12" s="35" t="s">
        <v>1378</v>
      </c>
      <c r="E12" s="35">
        <v>498.68</v>
      </c>
      <c r="F12" s="34">
        <v>43312</v>
      </c>
    </row>
    <row r="13" spans="1:6" ht="15.75" x14ac:dyDescent="0.25">
      <c r="A13" s="35">
        <v>511120</v>
      </c>
      <c r="B13" s="35" t="s">
        <v>6</v>
      </c>
      <c r="C13" s="35" t="s">
        <v>7</v>
      </c>
      <c r="D13" s="35" t="s">
        <v>1378</v>
      </c>
      <c r="E13" s="35">
        <v>6416.67</v>
      </c>
      <c r="F13" s="34">
        <v>43312</v>
      </c>
    </row>
  </sheetData>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A338F-B270-4D5F-85AA-7F16E0F9D836}">
  <dimension ref="A1:D123"/>
  <sheetViews>
    <sheetView workbookViewId="0">
      <selection activeCell="C19" sqref="C19"/>
    </sheetView>
  </sheetViews>
  <sheetFormatPr defaultRowHeight="15" x14ac:dyDescent="0.25"/>
  <cols>
    <col min="1" max="4" width="40.7109375" style="36" customWidth="1"/>
    <col min="5" max="16384" width="9.140625" style="36"/>
  </cols>
  <sheetData>
    <row r="1" spans="1:4" ht="15.75" thickBot="1" x14ac:dyDescent="0.3"/>
    <row r="2" spans="1:4" ht="26.25" customHeight="1" x14ac:dyDescent="0.25">
      <c r="A2" s="350" t="s">
        <v>1982</v>
      </c>
      <c r="B2" s="351"/>
      <c r="C2" s="351"/>
      <c r="D2" s="352"/>
    </row>
    <row r="3" spans="1:4" ht="26.25" customHeight="1" x14ac:dyDescent="0.25">
      <c r="A3" s="353"/>
      <c r="B3" s="354"/>
      <c r="C3" s="354"/>
      <c r="D3" s="355"/>
    </row>
    <row r="4" spans="1:4" ht="15.75" x14ac:dyDescent="0.25">
      <c r="A4" s="100" t="s">
        <v>53</v>
      </c>
      <c r="B4" s="101" t="s">
        <v>54</v>
      </c>
      <c r="C4" s="101" t="s">
        <v>1974</v>
      </c>
      <c r="D4" s="102" t="s">
        <v>1971</v>
      </c>
    </row>
    <row r="5" spans="1:4" ht="15.75" x14ac:dyDescent="0.25">
      <c r="A5" s="11"/>
      <c r="B5" s="1"/>
      <c r="C5" s="1"/>
      <c r="D5" s="12"/>
    </row>
    <row r="6" spans="1:4" ht="15.75" x14ac:dyDescent="0.25">
      <c r="A6" s="344" t="s">
        <v>1979</v>
      </c>
      <c r="B6" s="345"/>
      <c r="C6" s="345"/>
      <c r="D6" s="346"/>
    </row>
    <row r="7" spans="1:4" ht="15.75" x14ac:dyDescent="0.25">
      <c r="A7" s="11"/>
      <c r="B7" s="1"/>
      <c r="C7" s="1"/>
      <c r="D7" s="12"/>
    </row>
    <row r="8" spans="1:4" x14ac:dyDescent="0.25">
      <c r="A8" s="80" t="s">
        <v>132</v>
      </c>
      <c r="B8" s="81"/>
      <c r="C8" s="81"/>
      <c r="D8" s="82"/>
    </row>
    <row r="9" spans="1:4" ht="15.75" x14ac:dyDescent="0.25">
      <c r="A9" s="11"/>
      <c r="B9" s="1"/>
      <c r="C9" s="1"/>
      <c r="D9" s="12"/>
    </row>
    <row r="10" spans="1:4" x14ac:dyDescent="0.25">
      <c r="A10" s="13" t="s">
        <v>133</v>
      </c>
      <c r="B10" s="2"/>
      <c r="C10" s="2"/>
      <c r="D10" s="14"/>
    </row>
    <row r="11" spans="1:4" ht="15.75" x14ac:dyDescent="0.25">
      <c r="A11" s="11"/>
      <c r="B11" s="3" t="s">
        <v>134</v>
      </c>
      <c r="C11" s="4">
        <v>163456.56</v>
      </c>
      <c r="D11" s="15"/>
    </row>
    <row r="12" spans="1:4" x14ac:dyDescent="0.25">
      <c r="A12" s="16" t="s">
        <v>136</v>
      </c>
      <c r="B12" s="2"/>
      <c r="C12" s="5">
        <f>SUM(C11:C11)</f>
        <v>163456.56</v>
      </c>
      <c r="D12" s="17"/>
    </row>
    <row r="13" spans="1:4" ht="15.75" x14ac:dyDescent="0.25">
      <c r="A13" s="11"/>
      <c r="B13" s="1"/>
      <c r="C13" s="1"/>
      <c r="D13" s="12"/>
    </row>
    <row r="14" spans="1:4" x14ac:dyDescent="0.25">
      <c r="A14" s="83" t="s">
        <v>138</v>
      </c>
      <c r="B14" s="84"/>
      <c r="C14" s="85">
        <f>SUM(C12)</f>
        <v>163456.56</v>
      </c>
      <c r="D14" s="86"/>
    </row>
    <row r="15" spans="1:4" ht="15.75" x14ac:dyDescent="0.25">
      <c r="A15" s="11"/>
      <c r="B15" s="1"/>
      <c r="C15" s="1"/>
      <c r="D15" s="12"/>
    </row>
    <row r="16" spans="1:4" x14ac:dyDescent="0.25">
      <c r="A16" s="73" t="s">
        <v>1977</v>
      </c>
      <c r="B16" s="74"/>
      <c r="C16" s="74"/>
      <c r="D16" s="75"/>
    </row>
    <row r="17" spans="1:4" ht="15.75" x14ac:dyDescent="0.25">
      <c r="A17" s="11"/>
      <c r="B17" s="1"/>
      <c r="C17" s="1"/>
      <c r="D17" s="12"/>
    </row>
    <row r="18" spans="1:4" x14ac:dyDescent="0.25">
      <c r="A18" s="13" t="s">
        <v>56</v>
      </c>
      <c r="B18" s="2"/>
      <c r="C18" s="2"/>
      <c r="D18" s="14"/>
    </row>
    <row r="19" spans="1:4" ht="15.75" x14ac:dyDescent="0.25">
      <c r="A19" s="11"/>
      <c r="B19" s="3" t="s">
        <v>57</v>
      </c>
      <c r="C19" s="4">
        <v>225000</v>
      </c>
      <c r="D19" s="15"/>
    </row>
    <row r="20" spans="1:4" x14ac:dyDescent="0.25">
      <c r="A20" s="16" t="s">
        <v>58</v>
      </c>
      <c r="B20" s="2"/>
      <c r="C20" s="5">
        <f>SUM(C19:C19)</f>
        <v>225000</v>
      </c>
      <c r="D20" s="17"/>
    </row>
    <row r="21" spans="1:4" ht="15.75" x14ac:dyDescent="0.25">
      <c r="A21" s="11"/>
      <c r="B21" s="1"/>
      <c r="C21" s="1"/>
      <c r="D21" s="12"/>
    </row>
    <row r="22" spans="1:4" x14ac:dyDescent="0.25">
      <c r="A22" s="13" t="s">
        <v>59</v>
      </c>
      <c r="B22" s="2"/>
      <c r="C22" s="2"/>
      <c r="D22" s="14"/>
    </row>
    <row r="23" spans="1:4" ht="15.75" x14ac:dyDescent="0.25">
      <c r="A23" s="11"/>
      <c r="B23" s="3" t="s">
        <v>1981</v>
      </c>
      <c r="C23" s="4">
        <v>0</v>
      </c>
      <c r="D23" s="15"/>
    </row>
    <row r="24" spans="1:4" x14ac:dyDescent="0.25">
      <c r="A24" s="16" t="s">
        <v>61</v>
      </c>
      <c r="B24" s="2"/>
      <c r="C24" s="5">
        <f>SUM(C23:C23)</f>
        <v>0</v>
      </c>
      <c r="D24" s="17"/>
    </row>
    <row r="25" spans="1:4" ht="15.75" x14ac:dyDescent="0.25">
      <c r="A25" s="11"/>
      <c r="B25" s="1"/>
      <c r="C25" s="1"/>
      <c r="D25" s="12"/>
    </row>
    <row r="26" spans="1:4" x14ac:dyDescent="0.25">
      <c r="A26" s="76" t="s">
        <v>62</v>
      </c>
      <c r="B26" s="77"/>
      <c r="C26" s="78">
        <f>SUM(C20,C24)</f>
        <v>225000</v>
      </c>
      <c r="D26" s="79"/>
    </row>
    <row r="27" spans="1:4" ht="15.75" x14ac:dyDescent="0.25">
      <c r="A27" s="11"/>
      <c r="B27" s="1"/>
      <c r="C27" s="1"/>
      <c r="D27" s="12"/>
    </row>
    <row r="28" spans="1:4" ht="15.75" x14ac:dyDescent="0.25">
      <c r="A28" s="344" t="s">
        <v>1978</v>
      </c>
      <c r="B28" s="345"/>
      <c r="C28" s="345"/>
      <c r="D28" s="346"/>
    </row>
    <row r="29" spans="1:4" ht="15.75" x14ac:dyDescent="0.25">
      <c r="A29" s="11"/>
      <c r="B29" s="1"/>
      <c r="C29" s="1"/>
      <c r="D29" s="12"/>
    </row>
    <row r="30" spans="1:4" x14ac:dyDescent="0.25">
      <c r="A30" s="66" t="s">
        <v>63</v>
      </c>
      <c r="B30" s="67"/>
      <c r="C30" s="67"/>
      <c r="D30" s="68"/>
    </row>
    <row r="31" spans="1:4" x14ac:dyDescent="0.25">
      <c r="A31" s="18"/>
      <c r="B31" s="3"/>
      <c r="C31" s="3"/>
      <c r="D31" s="19"/>
    </row>
    <row r="32" spans="1:4" x14ac:dyDescent="0.25">
      <c r="A32" s="13" t="s">
        <v>64</v>
      </c>
      <c r="B32" s="2"/>
      <c r="C32" s="2"/>
      <c r="D32" s="14"/>
    </row>
    <row r="33" spans="1:4" x14ac:dyDescent="0.25">
      <c r="A33" s="20"/>
      <c r="B33" s="3" t="s">
        <v>65</v>
      </c>
      <c r="C33" s="4">
        <v>6500</v>
      </c>
      <c r="D33" s="15"/>
    </row>
    <row r="34" spans="1:4" x14ac:dyDescent="0.25">
      <c r="A34" s="20"/>
      <c r="B34" s="3" t="s">
        <v>66</v>
      </c>
      <c r="C34" s="4">
        <v>4000</v>
      </c>
      <c r="D34" s="15"/>
    </row>
    <row r="35" spans="1:4" x14ac:dyDescent="0.25">
      <c r="A35" s="20"/>
      <c r="B35" s="3" t="s">
        <v>67</v>
      </c>
      <c r="C35" s="4">
        <v>2250</v>
      </c>
      <c r="D35" s="15"/>
    </row>
    <row r="36" spans="1:4" x14ac:dyDescent="0.25">
      <c r="A36" s="20"/>
      <c r="B36" s="3" t="s">
        <v>68</v>
      </c>
      <c r="C36" s="4">
        <v>2000</v>
      </c>
      <c r="D36" s="15"/>
    </row>
    <row r="37" spans="1:4" x14ac:dyDescent="0.25">
      <c r="A37" s="20"/>
      <c r="B37" s="3" t="s">
        <v>69</v>
      </c>
      <c r="C37" s="4">
        <v>2000</v>
      </c>
      <c r="D37" s="15"/>
    </row>
    <row r="38" spans="1:4" x14ac:dyDescent="0.25">
      <c r="A38" s="20"/>
      <c r="B38" s="3" t="s">
        <v>70</v>
      </c>
      <c r="C38" s="4">
        <v>2000</v>
      </c>
      <c r="D38" s="15"/>
    </row>
    <row r="39" spans="1:4" x14ac:dyDescent="0.25">
      <c r="A39" s="20"/>
      <c r="B39" s="3" t="s">
        <v>71</v>
      </c>
      <c r="C39" s="4">
        <v>2000</v>
      </c>
      <c r="D39" s="15"/>
    </row>
    <row r="40" spans="1:4" x14ac:dyDescent="0.25">
      <c r="A40" s="20"/>
      <c r="B40" s="3" t="s">
        <v>72</v>
      </c>
      <c r="C40" s="4">
        <v>2000</v>
      </c>
      <c r="D40" s="15"/>
    </row>
    <row r="41" spans="1:4" x14ac:dyDescent="0.25">
      <c r="A41" s="20"/>
      <c r="B41" s="3" t="s">
        <v>73</v>
      </c>
      <c r="C41" s="4">
        <v>2000</v>
      </c>
      <c r="D41" s="15"/>
    </row>
    <row r="42" spans="1:4" x14ac:dyDescent="0.25">
      <c r="A42" s="16" t="s">
        <v>74</v>
      </c>
      <c r="B42" s="2"/>
      <c r="C42" s="5">
        <f>SUM(C33:C41)</f>
        <v>24750</v>
      </c>
      <c r="D42" s="21"/>
    </row>
    <row r="43" spans="1:4" x14ac:dyDescent="0.25">
      <c r="A43" s="20"/>
      <c r="B43" s="3"/>
      <c r="C43" s="3"/>
      <c r="D43" s="19"/>
    </row>
    <row r="44" spans="1:4" x14ac:dyDescent="0.25">
      <c r="A44" s="13" t="s">
        <v>75</v>
      </c>
      <c r="B44" s="2"/>
      <c r="C44" s="2"/>
      <c r="D44" s="14"/>
    </row>
    <row r="45" spans="1:4" x14ac:dyDescent="0.25">
      <c r="A45" s="20"/>
      <c r="B45" s="3" t="s">
        <v>76</v>
      </c>
      <c r="C45" s="4">
        <v>53000</v>
      </c>
      <c r="D45" s="15"/>
    </row>
    <row r="46" spans="1:4" x14ac:dyDescent="0.25">
      <c r="A46" s="20"/>
      <c r="B46" s="3" t="s">
        <v>77</v>
      </c>
      <c r="C46" s="4">
        <v>6810.5</v>
      </c>
      <c r="D46" s="15"/>
    </row>
    <row r="47" spans="1:4" x14ac:dyDescent="0.25">
      <c r="A47" s="20"/>
      <c r="B47" s="3" t="s">
        <v>78</v>
      </c>
      <c r="C47" s="4">
        <v>5564.16</v>
      </c>
      <c r="D47" s="15"/>
    </row>
    <row r="48" spans="1:4" x14ac:dyDescent="0.25">
      <c r="A48" s="20"/>
      <c r="B48" s="3" t="s">
        <v>79</v>
      </c>
      <c r="C48" s="4">
        <v>3286</v>
      </c>
      <c r="D48" s="15"/>
    </row>
    <row r="49" spans="1:4" x14ac:dyDescent="0.25">
      <c r="A49" s="20"/>
      <c r="B49" s="3" t="s">
        <v>80</v>
      </c>
      <c r="C49" s="4">
        <v>768.5</v>
      </c>
      <c r="D49" s="15"/>
    </row>
    <row r="50" spans="1:4" x14ac:dyDescent="0.25">
      <c r="A50" s="16" t="s">
        <v>81</v>
      </c>
      <c r="B50" s="2"/>
      <c r="C50" s="6">
        <f>SUM(C45:C49)</f>
        <v>69429.16</v>
      </c>
      <c r="D50" s="21"/>
    </row>
    <row r="51" spans="1:4" x14ac:dyDescent="0.25">
      <c r="A51" s="20"/>
      <c r="B51" s="3"/>
      <c r="C51" s="3"/>
      <c r="D51" s="19"/>
    </row>
    <row r="52" spans="1:4" x14ac:dyDescent="0.25">
      <c r="A52" s="13" t="s">
        <v>82</v>
      </c>
      <c r="B52" s="2"/>
      <c r="C52" s="2"/>
      <c r="D52" s="14"/>
    </row>
    <row r="53" spans="1:4" x14ac:dyDescent="0.25">
      <c r="A53" s="20"/>
      <c r="B53" s="3" t="s">
        <v>83</v>
      </c>
      <c r="C53" s="4">
        <v>17000</v>
      </c>
      <c r="D53" s="15"/>
    </row>
    <row r="54" spans="1:4" x14ac:dyDescent="0.25">
      <c r="A54" s="16" t="s">
        <v>84</v>
      </c>
      <c r="B54" s="2"/>
      <c r="C54" s="6">
        <f>SUM(C53:C53)</f>
        <v>17000</v>
      </c>
      <c r="D54" s="21"/>
    </row>
    <row r="55" spans="1:4" x14ac:dyDescent="0.25">
      <c r="A55" s="20"/>
      <c r="B55" s="3"/>
      <c r="C55" s="3"/>
      <c r="D55" s="19"/>
    </row>
    <row r="56" spans="1:4" x14ac:dyDescent="0.25">
      <c r="A56" s="69" t="s">
        <v>85</v>
      </c>
      <c r="B56" s="70"/>
      <c r="C56" s="71">
        <f>SUM(C42, C50, C54)</f>
        <v>111179.16</v>
      </c>
      <c r="D56" s="72"/>
    </row>
    <row r="57" spans="1:4" x14ac:dyDescent="0.25">
      <c r="A57" s="20"/>
      <c r="B57" s="3"/>
      <c r="C57" s="3"/>
      <c r="D57" s="19"/>
    </row>
    <row r="58" spans="1:4" x14ac:dyDescent="0.25">
      <c r="A58" s="58" t="s">
        <v>130</v>
      </c>
      <c r="B58" s="59"/>
      <c r="C58" s="59"/>
      <c r="D58" s="60"/>
    </row>
    <row r="59" spans="1:4" x14ac:dyDescent="0.25">
      <c r="A59" s="18"/>
      <c r="B59" s="3"/>
      <c r="C59" s="3"/>
      <c r="D59" s="19"/>
    </row>
    <row r="60" spans="1:4" x14ac:dyDescent="0.25">
      <c r="A60" s="13" t="s">
        <v>86</v>
      </c>
      <c r="B60" s="2"/>
      <c r="C60" s="2"/>
      <c r="D60" s="14"/>
    </row>
    <row r="61" spans="1:4" x14ac:dyDescent="0.25">
      <c r="A61" s="20"/>
      <c r="B61" s="3" t="s">
        <v>87</v>
      </c>
      <c r="C61" s="4">
        <v>450</v>
      </c>
      <c r="D61" s="15"/>
    </row>
    <row r="62" spans="1:4" x14ac:dyDescent="0.25">
      <c r="A62" s="20"/>
      <c r="B62" s="3" t="s">
        <v>88</v>
      </c>
      <c r="C62" s="4">
        <v>1000</v>
      </c>
      <c r="D62" s="15"/>
    </row>
    <row r="63" spans="1:4" x14ac:dyDescent="0.25">
      <c r="A63" s="20"/>
      <c r="B63" s="3" t="s">
        <v>1983</v>
      </c>
      <c r="C63" s="4">
        <v>250</v>
      </c>
      <c r="D63" s="15"/>
    </row>
    <row r="64" spans="1:4" x14ac:dyDescent="0.25">
      <c r="A64" s="16" t="s">
        <v>89</v>
      </c>
      <c r="B64" s="2"/>
      <c r="C64" s="6">
        <f>SUM(C61:C63)</f>
        <v>1700</v>
      </c>
      <c r="D64" s="21"/>
    </row>
    <row r="65" spans="1:4" x14ac:dyDescent="0.25">
      <c r="A65" s="20"/>
      <c r="B65" s="3"/>
      <c r="C65" s="3"/>
      <c r="D65" s="19"/>
    </row>
    <row r="66" spans="1:4" x14ac:dyDescent="0.25">
      <c r="A66" s="13" t="s">
        <v>90</v>
      </c>
      <c r="B66" s="2"/>
      <c r="C66" s="2"/>
      <c r="D66" s="14"/>
    </row>
    <row r="67" spans="1:4" x14ac:dyDescent="0.25">
      <c r="A67" s="20"/>
      <c r="B67" s="3" t="s">
        <v>91</v>
      </c>
      <c r="C67" s="4">
        <v>119.4</v>
      </c>
      <c r="D67" s="15"/>
    </row>
    <row r="68" spans="1:4" x14ac:dyDescent="0.25">
      <c r="A68" s="20"/>
      <c r="B68" s="3" t="s">
        <v>1984</v>
      </c>
      <c r="C68" s="4">
        <v>100</v>
      </c>
      <c r="D68" s="15"/>
    </row>
    <row r="69" spans="1:4" x14ac:dyDescent="0.25">
      <c r="A69" s="20"/>
      <c r="B69" s="3" t="s">
        <v>1986</v>
      </c>
      <c r="C69" s="4">
        <v>700</v>
      </c>
      <c r="D69" s="15"/>
    </row>
    <row r="70" spans="1:4" x14ac:dyDescent="0.25">
      <c r="A70" s="20"/>
      <c r="B70" s="3" t="s">
        <v>1985</v>
      </c>
      <c r="C70" s="4">
        <v>1000</v>
      </c>
      <c r="D70" s="15"/>
    </row>
    <row r="71" spans="1:4" x14ac:dyDescent="0.25">
      <c r="A71" s="16" t="s">
        <v>94</v>
      </c>
      <c r="B71" s="2"/>
      <c r="C71" s="6">
        <f>SUM(C67:C70)</f>
        <v>1919.4</v>
      </c>
      <c r="D71" s="21"/>
    </row>
    <row r="72" spans="1:4" x14ac:dyDescent="0.25">
      <c r="A72" s="20"/>
      <c r="B72" s="3"/>
      <c r="C72" s="3"/>
      <c r="D72" s="19"/>
    </row>
    <row r="73" spans="1:4" x14ac:dyDescent="0.25">
      <c r="A73" s="61" t="s">
        <v>95</v>
      </c>
      <c r="B73" s="62"/>
      <c r="C73" s="63">
        <f>SUM(C64, C71)</f>
        <v>3619.4</v>
      </c>
      <c r="D73" s="65"/>
    </row>
    <row r="74" spans="1:4" x14ac:dyDescent="0.25">
      <c r="A74" s="20"/>
      <c r="B74" s="3"/>
      <c r="C74" s="3"/>
      <c r="D74" s="19"/>
    </row>
    <row r="75" spans="1:4" x14ac:dyDescent="0.25">
      <c r="A75" s="51" t="s">
        <v>96</v>
      </c>
      <c r="B75" s="52"/>
      <c r="C75" s="52"/>
      <c r="D75" s="53"/>
    </row>
    <row r="76" spans="1:4" x14ac:dyDescent="0.25">
      <c r="A76" s="18"/>
      <c r="B76" s="3"/>
      <c r="C76" s="3"/>
      <c r="D76" s="19"/>
    </row>
    <row r="77" spans="1:4" x14ac:dyDescent="0.25">
      <c r="A77" s="13" t="s">
        <v>97</v>
      </c>
      <c r="B77" s="2"/>
      <c r="C77" s="2"/>
      <c r="D77" s="14"/>
    </row>
    <row r="78" spans="1:4" x14ac:dyDescent="0.25">
      <c r="A78" s="20"/>
      <c r="B78" s="3" t="s">
        <v>1991</v>
      </c>
      <c r="C78" s="4">
        <v>45000</v>
      </c>
      <c r="D78" s="15"/>
    </row>
    <row r="79" spans="1:4" x14ac:dyDescent="0.25">
      <c r="A79" s="16" t="s">
        <v>101</v>
      </c>
      <c r="B79" s="2"/>
      <c r="C79" s="5">
        <f>SUM(C78:C78)</f>
        <v>45000</v>
      </c>
      <c r="D79" s="21"/>
    </row>
    <row r="80" spans="1:4" x14ac:dyDescent="0.25">
      <c r="A80" s="20"/>
      <c r="B80" s="3"/>
      <c r="C80" s="3"/>
      <c r="D80" s="19"/>
    </row>
    <row r="81" spans="1:4" x14ac:dyDescent="0.25">
      <c r="A81" s="13" t="s">
        <v>102</v>
      </c>
      <c r="B81" s="2"/>
      <c r="C81" s="2"/>
      <c r="D81" s="14"/>
    </row>
    <row r="82" spans="1:4" x14ac:dyDescent="0.25">
      <c r="A82" s="20"/>
      <c r="B82" s="3" t="s">
        <v>103</v>
      </c>
      <c r="C82" s="4">
        <v>4500</v>
      </c>
      <c r="D82" s="15"/>
    </row>
    <row r="83" spans="1:4" x14ac:dyDescent="0.25">
      <c r="A83" s="20"/>
      <c r="B83" s="3" t="s">
        <v>1987</v>
      </c>
      <c r="C83" s="4">
        <v>2500</v>
      </c>
      <c r="D83" s="15"/>
    </row>
    <row r="84" spans="1:4" x14ac:dyDescent="0.25">
      <c r="A84" s="20"/>
      <c r="B84" s="3" t="s">
        <v>1988</v>
      </c>
      <c r="C84" s="4">
        <v>200</v>
      </c>
      <c r="D84" s="15"/>
    </row>
    <row r="85" spans="1:4" x14ac:dyDescent="0.25">
      <c r="A85" s="16" t="s">
        <v>105</v>
      </c>
      <c r="B85" s="2"/>
      <c r="C85" s="6">
        <f>SUM(C82:C84)</f>
        <v>7200</v>
      </c>
      <c r="D85" s="21"/>
    </row>
    <row r="86" spans="1:4" x14ac:dyDescent="0.25">
      <c r="A86" s="20"/>
      <c r="B86" s="3"/>
      <c r="C86" s="3"/>
      <c r="D86" s="19"/>
    </row>
    <row r="87" spans="1:4" x14ac:dyDescent="0.25">
      <c r="A87" s="54" t="s">
        <v>106</v>
      </c>
      <c r="B87" s="55"/>
      <c r="C87" s="56">
        <f>SUM(C79, C85)</f>
        <v>52200</v>
      </c>
      <c r="D87" s="57"/>
    </row>
    <row r="88" spans="1:4" x14ac:dyDescent="0.25">
      <c r="A88" s="20"/>
      <c r="B88" s="3"/>
      <c r="C88" s="3"/>
      <c r="D88" s="19"/>
    </row>
    <row r="89" spans="1:4" x14ac:dyDescent="0.25">
      <c r="A89" s="44" t="s">
        <v>107</v>
      </c>
      <c r="B89" s="45"/>
      <c r="C89" s="45"/>
      <c r="D89" s="46"/>
    </row>
    <row r="90" spans="1:4" x14ac:dyDescent="0.25">
      <c r="A90" s="18"/>
      <c r="B90" s="3"/>
      <c r="C90" s="3"/>
      <c r="D90" s="19"/>
    </row>
    <row r="91" spans="1:4" x14ac:dyDescent="0.25">
      <c r="A91" s="13" t="s">
        <v>108</v>
      </c>
      <c r="B91" s="2"/>
      <c r="C91" s="2"/>
      <c r="D91" s="14"/>
    </row>
    <row r="92" spans="1:4" x14ac:dyDescent="0.25">
      <c r="A92" s="20"/>
      <c r="B92" s="3" t="s">
        <v>109</v>
      </c>
      <c r="C92" s="4">
        <v>9000</v>
      </c>
      <c r="D92" s="15"/>
    </row>
    <row r="93" spans="1:4" x14ac:dyDescent="0.25">
      <c r="A93" s="20"/>
      <c r="B93" s="3" t="s">
        <v>1990</v>
      </c>
      <c r="C93" s="4">
        <v>0</v>
      </c>
      <c r="D93" s="15"/>
    </row>
    <row r="94" spans="1:4" x14ac:dyDescent="0.25">
      <c r="A94" s="16" t="s">
        <v>110</v>
      </c>
      <c r="B94" s="2"/>
      <c r="C94" s="6">
        <f>SUM(C92:C92)</f>
        <v>9000</v>
      </c>
      <c r="D94" s="21"/>
    </row>
    <row r="95" spans="1:4" x14ac:dyDescent="0.25">
      <c r="A95" s="20"/>
      <c r="B95" s="3"/>
      <c r="C95" s="3"/>
      <c r="D95" s="19"/>
    </row>
    <row r="96" spans="1:4" x14ac:dyDescent="0.25">
      <c r="A96" s="13" t="s">
        <v>111</v>
      </c>
      <c r="B96" s="2"/>
      <c r="C96" s="2"/>
      <c r="D96" s="14"/>
    </row>
    <row r="97" spans="1:4" x14ac:dyDescent="0.25">
      <c r="A97" s="20"/>
      <c r="B97" s="3" t="s">
        <v>112</v>
      </c>
      <c r="C97" s="4">
        <v>60000</v>
      </c>
      <c r="D97" s="15"/>
    </row>
    <row r="98" spans="1:4" x14ac:dyDescent="0.25">
      <c r="A98" s="16" t="s">
        <v>113</v>
      </c>
      <c r="B98" s="2"/>
      <c r="C98" s="6">
        <f>SUM(C97:C97)</f>
        <v>60000</v>
      </c>
      <c r="D98" s="21"/>
    </row>
    <row r="99" spans="1:4" x14ac:dyDescent="0.25">
      <c r="A99" s="22"/>
      <c r="B99" s="3"/>
      <c r="C99" s="3"/>
      <c r="D99" s="19"/>
    </row>
    <row r="100" spans="1:4" x14ac:dyDescent="0.25">
      <c r="A100" s="13" t="s">
        <v>114</v>
      </c>
      <c r="B100" s="2"/>
      <c r="C100" s="2"/>
      <c r="D100" s="14"/>
    </row>
    <row r="101" spans="1:4" x14ac:dyDescent="0.25">
      <c r="A101" s="20"/>
      <c r="B101" s="3" t="s">
        <v>115</v>
      </c>
      <c r="C101" s="4">
        <v>9000</v>
      </c>
      <c r="D101" s="15"/>
    </row>
    <row r="102" spans="1:4" x14ac:dyDescent="0.25">
      <c r="A102" s="16" t="s">
        <v>116</v>
      </c>
      <c r="B102" s="2"/>
      <c r="C102" s="6">
        <f>SUM(C101:C101)</f>
        <v>9000</v>
      </c>
      <c r="D102" s="21"/>
    </row>
    <row r="103" spans="1:4" x14ac:dyDescent="0.25">
      <c r="A103" s="20"/>
      <c r="B103" s="3"/>
      <c r="C103" s="3"/>
      <c r="D103" s="19"/>
    </row>
    <row r="104" spans="1:4" x14ac:dyDescent="0.25">
      <c r="A104" s="13" t="s">
        <v>117</v>
      </c>
      <c r="B104" s="2"/>
      <c r="C104" s="2"/>
      <c r="D104" s="14"/>
    </row>
    <row r="105" spans="1:4" x14ac:dyDescent="0.25">
      <c r="A105" s="20"/>
      <c r="B105" s="3" t="s">
        <v>1989</v>
      </c>
      <c r="C105" s="4">
        <v>4500</v>
      </c>
      <c r="D105" s="15"/>
    </row>
    <row r="106" spans="1:4" x14ac:dyDescent="0.25">
      <c r="A106" s="16" t="s">
        <v>121</v>
      </c>
      <c r="B106" s="2"/>
      <c r="C106" s="6">
        <f>SUM(C105:C105)</f>
        <v>4500</v>
      </c>
      <c r="D106" s="21"/>
    </row>
    <row r="107" spans="1:4" x14ac:dyDescent="0.25">
      <c r="A107" s="20"/>
      <c r="B107" s="3"/>
      <c r="C107" s="3"/>
      <c r="D107" s="19"/>
    </row>
    <row r="108" spans="1:4" x14ac:dyDescent="0.25">
      <c r="A108" s="47" t="s">
        <v>167</v>
      </c>
      <c r="B108" s="48"/>
      <c r="C108" s="49">
        <f>SUM(C94, C98, C102, C106)</f>
        <v>82500</v>
      </c>
      <c r="D108" s="50"/>
    </row>
    <row r="109" spans="1:4" x14ac:dyDescent="0.25">
      <c r="A109" s="20"/>
      <c r="B109" s="3"/>
      <c r="C109" s="3"/>
      <c r="D109" s="19"/>
    </row>
    <row r="110" spans="1:4" x14ac:dyDescent="0.25">
      <c r="A110" s="38" t="s">
        <v>131</v>
      </c>
      <c r="B110" s="39"/>
      <c r="C110" s="39"/>
      <c r="D110" s="40"/>
    </row>
    <row r="111" spans="1:4" x14ac:dyDescent="0.25">
      <c r="A111" s="18"/>
      <c r="B111" s="3"/>
      <c r="C111" s="3"/>
      <c r="D111" s="19"/>
    </row>
    <row r="112" spans="1:4" x14ac:dyDescent="0.25">
      <c r="A112" s="13" t="s">
        <v>122</v>
      </c>
      <c r="B112" s="2"/>
      <c r="C112" s="2"/>
      <c r="D112" s="14"/>
    </row>
    <row r="113" spans="1:4" x14ac:dyDescent="0.25">
      <c r="A113" s="20"/>
      <c r="B113" s="3" t="s">
        <v>123</v>
      </c>
      <c r="C113" s="4">
        <v>24200</v>
      </c>
      <c r="D113" s="15"/>
    </row>
    <row r="114" spans="1:4" x14ac:dyDescent="0.25">
      <c r="A114" s="16" t="s">
        <v>124</v>
      </c>
      <c r="B114" s="2"/>
      <c r="C114" s="6">
        <f>SUM(C113:C113)</f>
        <v>24200</v>
      </c>
      <c r="D114" s="21"/>
    </row>
    <row r="115" spans="1:4" x14ac:dyDescent="0.25">
      <c r="A115" s="20"/>
      <c r="B115" s="3"/>
      <c r="C115" s="3"/>
      <c r="D115" s="19"/>
    </row>
    <row r="116" spans="1:4" x14ac:dyDescent="0.25">
      <c r="A116" s="37" t="s">
        <v>125</v>
      </c>
      <c r="B116" s="41"/>
      <c r="C116" s="42">
        <f>SUM(C114)</f>
        <v>24200</v>
      </c>
      <c r="D116" s="43"/>
    </row>
    <row r="117" spans="1:4" x14ac:dyDescent="0.25">
      <c r="A117" s="23"/>
      <c r="B117" s="7"/>
      <c r="C117" s="7"/>
      <c r="D117" s="24"/>
    </row>
    <row r="118" spans="1:4" x14ac:dyDescent="0.25">
      <c r="A118" s="23"/>
      <c r="B118" s="7"/>
      <c r="C118" s="7"/>
      <c r="D118" s="24"/>
    </row>
    <row r="119" spans="1:4" ht="15.75" x14ac:dyDescent="0.25">
      <c r="A119" s="25" t="s">
        <v>1975</v>
      </c>
      <c r="B119" s="8"/>
      <c r="C119" s="9">
        <f>SUM(C26)</f>
        <v>225000</v>
      </c>
      <c r="D119" s="26"/>
    </row>
    <row r="120" spans="1:4" ht="15.75" x14ac:dyDescent="0.25">
      <c r="A120" s="25" t="s">
        <v>1976</v>
      </c>
      <c r="B120" s="8"/>
      <c r="C120" s="9">
        <f>SUM(C56,C73,C87,C108,C116)</f>
        <v>273698.56</v>
      </c>
      <c r="D120" s="26"/>
    </row>
    <row r="121" spans="1:4" ht="16.5" thickBot="1" x14ac:dyDescent="0.3">
      <c r="A121" s="27" t="s">
        <v>128</v>
      </c>
      <c r="B121" s="28"/>
      <c r="C121" s="29">
        <f>C119-C120</f>
        <v>-48698.559999999998</v>
      </c>
      <c r="D121" s="31"/>
    </row>
    <row r="123" spans="1:4" x14ac:dyDescent="0.25">
      <c r="C123" s="93"/>
    </row>
  </sheetData>
  <mergeCells count="3">
    <mergeCell ref="A2:D3"/>
    <mergeCell ref="A6:D6"/>
    <mergeCell ref="A28:D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71D0A-0653-4B51-B625-38D7BA990E0E}">
  <dimension ref="A1:Q134"/>
  <sheetViews>
    <sheetView workbookViewId="0">
      <selection activeCell="C11" sqref="C11"/>
    </sheetView>
  </sheetViews>
  <sheetFormatPr defaultRowHeight="12.75" x14ac:dyDescent="0.2"/>
  <cols>
    <col min="1" max="2" width="40.7109375" style="106" customWidth="1"/>
    <col min="3" max="3" width="40.7109375" style="3" customWidth="1"/>
    <col min="4" max="15" width="20.7109375" style="106" customWidth="1"/>
    <col min="16" max="16" width="20.7109375" style="4" customWidth="1"/>
    <col min="17" max="17" width="20.7109375" style="114" customWidth="1"/>
    <col min="18" max="16384" width="9.140625" style="106"/>
  </cols>
  <sheetData>
    <row r="1" spans="1:17" ht="13.5" thickBot="1" x14ac:dyDescent="0.25"/>
    <row r="2" spans="1:17" ht="12.75" customHeight="1" x14ac:dyDescent="0.2">
      <c r="A2" s="365" t="s">
        <v>2114</v>
      </c>
      <c r="B2" s="366"/>
      <c r="C2" s="366"/>
      <c r="D2" s="366"/>
      <c r="E2" s="366"/>
      <c r="F2" s="366"/>
      <c r="G2" s="366"/>
      <c r="H2" s="366"/>
      <c r="I2" s="366"/>
      <c r="J2" s="366"/>
      <c r="K2" s="366"/>
      <c r="L2" s="366"/>
      <c r="M2" s="366"/>
      <c r="N2" s="366"/>
      <c r="O2" s="366"/>
      <c r="P2" s="366"/>
      <c r="Q2" s="367"/>
    </row>
    <row r="3" spans="1:17" ht="12.75" customHeight="1" x14ac:dyDescent="0.2">
      <c r="A3" s="368"/>
      <c r="B3" s="369"/>
      <c r="C3" s="369"/>
      <c r="D3" s="369"/>
      <c r="E3" s="369"/>
      <c r="F3" s="369"/>
      <c r="G3" s="369"/>
      <c r="H3" s="369"/>
      <c r="I3" s="369"/>
      <c r="J3" s="369"/>
      <c r="K3" s="369"/>
      <c r="L3" s="369"/>
      <c r="M3" s="369"/>
      <c r="N3" s="369"/>
      <c r="O3" s="369"/>
      <c r="P3" s="369"/>
      <c r="Q3" s="370"/>
    </row>
    <row r="4" spans="1:17" s="110" customFormat="1" ht="15.75" x14ac:dyDescent="0.2">
      <c r="A4" s="107" t="s">
        <v>53</v>
      </c>
      <c r="B4" s="108" t="s">
        <v>54</v>
      </c>
      <c r="C4" s="185" t="s">
        <v>1974</v>
      </c>
      <c r="D4" s="105" t="s">
        <v>2097</v>
      </c>
      <c r="E4" s="109" t="s">
        <v>2098</v>
      </c>
      <c r="F4" s="109" t="s">
        <v>2099</v>
      </c>
      <c r="G4" s="109" t="s">
        <v>2100</v>
      </c>
      <c r="H4" s="109" t="s">
        <v>2101</v>
      </c>
      <c r="I4" s="109" t="s">
        <v>2102</v>
      </c>
      <c r="J4" s="109" t="s">
        <v>2103</v>
      </c>
      <c r="K4" s="109" t="s">
        <v>2104</v>
      </c>
      <c r="L4" s="109" t="s">
        <v>2105</v>
      </c>
      <c r="M4" s="109" t="s">
        <v>2106</v>
      </c>
      <c r="N4" s="109" t="s">
        <v>2107</v>
      </c>
      <c r="O4" s="109" t="s">
        <v>2108</v>
      </c>
      <c r="P4" s="171" t="s">
        <v>2110</v>
      </c>
      <c r="Q4" s="200" t="s">
        <v>2109</v>
      </c>
    </row>
    <row r="5" spans="1:17" s="110" customFormat="1" ht="15.75" x14ac:dyDescent="0.2">
      <c r="A5" s="111"/>
      <c r="B5" s="112"/>
      <c r="C5" s="186"/>
      <c r="D5" s="1"/>
      <c r="E5" s="112"/>
      <c r="F5" s="112"/>
      <c r="G5" s="112"/>
      <c r="H5" s="112"/>
      <c r="I5" s="112"/>
      <c r="J5" s="112"/>
      <c r="K5" s="112"/>
      <c r="L5" s="112"/>
      <c r="M5" s="112"/>
      <c r="N5" s="112"/>
      <c r="O5" s="112"/>
      <c r="P5" s="172"/>
      <c r="Q5" s="173"/>
    </row>
    <row r="6" spans="1:17" ht="15.75" x14ac:dyDescent="0.2">
      <c r="A6" s="147" t="s">
        <v>1979</v>
      </c>
      <c r="B6" s="147"/>
      <c r="C6" s="187"/>
      <c r="D6" s="148"/>
      <c r="E6" s="148"/>
      <c r="F6" s="148"/>
      <c r="G6" s="148"/>
      <c r="H6" s="148"/>
      <c r="I6" s="148"/>
      <c r="J6" s="148"/>
      <c r="K6" s="148"/>
      <c r="L6" s="148"/>
      <c r="M6" s="148"/>
      <c r="N6" s="148"/>
      <c r="O6" s="148"/>
      <c r="P6" s="175"/>
      <c r="Q6" s="158"/>
    </row>
    <row r="7" spans="1:17" ht="15.75" x14ac:dyDescent="0.2">
      <c r="A7" s="124"/>
      <c r="B7" s="124"/>
      <c r="C7" s="184"/>
      <c r="P7" s="174"/>
    </row>
    <row r="8" spans="1:17" x14ac:dyDescent="0.2">
      <c r="A8" s="125" t="s">
        <v>132</v>
      </c>
      <c r="B8" s="126"/>
      <c r="C8" s="188"/>
      <c r="D8" s="149"/>
      <c r="E8" s="149"/>
      <c r="F8" s="149"/>
      <c r="G8" s="149"/>
      <c r="H8" s="149"/>
      <c r="I8" s="149"/>
      <c r="J8" s="149"/>
      <c r="K8" s="149"/>
      <c r="L8" s="149"/>
      <c r="M8" s="149"/>
      <c r="N8" s="149"/>
      <c r="O8" s="149"/>
      <c r="P8" s="176"/>
      <c r="Q8" s="156"/>
    </row>
    <row r="9" spans="1:17" ht="15.75" x14ac:dyDescent="0.2">
      <c r="A9" s="1"/>
      <c r="B9" s="1"/>
      <c r="C9" s="184"/>
      <c r="P9" s="174"/>
    </row>
    <row r="10" spans="1:17" x14ac:dyDescent="0.2">
      <c r="A10" s="127" t="s">
        <v>133</v>
      </c>
      <c r="B10" s="2"/>
      <c r="C10" s="189"/>
      <c r="D10" s="113"/>
      <c r="E10" s="113"/>
      <c r="F10" s="113"/>
      <c r="G10" s="113"/>
      <c r="H10" s="113"/>
      <c r="I10" s="113"/>
      <c r="J10" s="113"/>
      <c r="K10" s="113"/>
      <c r="L10" s="113"/>
      <c r="M10" s="113"/>
      <c r="N10" s="113"/>
      <c r="O10" s="113"/>
      <c r="P10" s="177"/>
      <c r="Q10" s="155"/>
    </row>
    <row r="11" spans="1:17" ht="15.75" x14ac:dyDescent="0.2">
      <c r="A11" s="1"/>
      <c r="B11" s="3" t="s">
        <v>134</v>
      </c>
      <c r="C11" s="190">
        <f>'FY2020 Operating Budget'!C11</f>
        <v>209625.3</v>
      </c>
      <c r="D11" s="114">
        <f>'FY2020 July Account'!$E$11</f>
        <v>-5414.590000000002</v>
      </c>
      <c r="E11" s="115">
        <f>'FY2020 August Account'!$E$11</f>
        <v>12439.51</v>
      </c>
      <c r="F11" s="114">
        <f>'FY2020 September Account'!$E$11</f>
        <v>26711.519999999997</v>
      </c>
      <c r="G11" s="115">
        <f>'FY2020 October Account'!$E$11</f>
        <v>31072.759999999995</v>
      </c>
      <c r="H11" s="115">
        <f>'FY2020 November Account'!$E$11</f>
        <v>-20884.060000000001</v>
      </c>
      <c r="I11" s="115">
        <f>'FY2020 December Account'!$E$11</f>
        <v>-1285.4400000000005</v>
      </c>
      <c r="J11" s="115">
        <f>'FY2020 January Account'!$E$11</f>
        <v>-12695.67</v>
      </c>
      <c r="K11" s="115">
        <f>'FY2020 February Account'!$E$11</f>
        <v>61983.810000000012</v>
      </c>
      <c r="L11" s="115">
        <f>'FY2020 March Account'!$E$11</f>
        <v>-154119.1</v>
      </c>
      <c r="M11" s="115">
        <f>'FY2020 April Account'!$E$11</f>
        <v>64163</v>
      </c>
      <c r="P11" s="174">
        <f>SUM(D11:O11)</f>
        <v>1971.7399999999907</v>
      </c>
      <c r="Q11" s="114">
        <f>C11+P11</f>
        <v>211597.03999999998</v>
      </c>
    </row>
    <row r="12" spans="1:17" x14ac:dyDescent="0.2">
      <c r="A12" s="128" t="s">
        <v>136</v>
      </c>
      <c r="B12" s="2"/>
      <c r="C12" s="191">
        <f>'FY2020 Operating Budget'!C12</f>
        <v>209625.3</v>
      </c>
      <c r="D12" s="155">
        <f>'FY2020 July Account'!$E$12</f>
        <v>-5414.590000000002</v>
      </c>
      <c r="E12" s="155">
        <f>'FY2020 August Account'!$E$12</f>
        <v>12439.51</v>
      </c>
      <c r="F12" s="155">
        <f>'FY2020 September Account'!$E$12</f>
        <v>26711.519999999997</v>
      </c>
      <c r="G12" s="155">
        <f>'FY2020 October Account'!$E$12</f>
        <v>31072.759999999995</v>
      </c>
      <c r="H12" s="155">
        <f>'FY2020 November Account'!$E$12</f>
        <v>-20884.060000000001</v>
      </c>
      <c r="I12" s="155">
        <f>'FY2020 December Account'!$E$12</f>
        <v>-1285.4400000000005</v>
      </c>
      <c r="J12" s="155">
        <f>'FY2020 January Account'!$E$12</f>
        <v>-12695.67</v>
      </c>
      <c r="K12" s="155">
        <f>'FY2020 February Account'!$E$12</f>
        <v>61983.810000000012</v>
      </c>
      <c r="L12" s="155">
        <f>'FY2020 March Account'!$E$12</f>
        <v>-154119.1</v>
      </c>
      <c r="M12" s="155">
        <f>'FY2020 April Account'!$E$12</f>
        <v>64163</v>
      </c>
      <c r="N12" s="113"/>
      <c r="O12" s="113"/>
      <c r="P12" s="177">
        <f t="shared" ref="P12:P75" si="0">SUM(D12:O12)</f>
        <v>1971.7399999999907</v>
      </c>
      <c r="Q12" s="155">
        <f>C12+P12</f>
        <v>211597.03999999998</v>
      </c>
    </row>
    <row r="13" spans="1:17" ht="15.75" x14ac:dyDescent="0.2">
      <c r="A13" s="1"/>
      <c r="B13" s="1"/>
      <c r="C13" s="190"/>
      <c r="D13" s="114"/>
      <c r="F13" s="114"/>
      <c r="P13" s="174"/>
    </row>
    <row r="14" spans="1:17" x14ac:dyDescent="0.2">
      <c r="A14" s="127" t="s">
        <v>139</v>
      </c>
      <c r="B14" s="2"/>
      <c r="C14" s="191">
        <f>'FY2020 Operating Budget'!C14</f>
        <v>0</v>
      </c>
      <c r="D14" s="155"/>
      <c r="E14" s="113"/>
      <c r="F14" s="155"/>
      <c r="G14" s="113"/>
      <c r="H14" s="113"/>
      <c r="I14" s="113"/>
      <c r="J14" s="113"/>
      <c r="K14" s="113"/>
      <c r="L14" s="113"/>
      <c r="M14" s="113"/>
      <c r="N14" s="113"/>
      <c r="O14" s="113"/>
      <c r="P14" s="177"/>
      <c r="Q14" s="155">
        <f t="shared" ref="Q14:Q75" si="1">C14-P14</f>
        <v>0</v>
      </c>
    </row>
    <row r="15" spans="1:17" ht="15.75" x14ac:dyDescent="0.2">
      <c r="A15" s="1"/>
      <c r="B15" s="3" t="s">
        <v>135</v>
      </c>
      <c r="C15" s="190">
        <f>'FY2020 Operating Budget'!C15</f>
        <v>0</v>
      </c>
      <c r="D15" s="114">
        <f>'FY2020 July Account'!$E$15</f>
        <v>0</v>
      </c>
      <c r="E15" s="115">
        <f>'FY2020 August Account'!$E$15</f>
        <v>0</v>
      </c>
      <c r="F15" s="114">
        <f>'FY2020 September Account'!$E$15</f>
        <v>0</v>
      </c>
      <c r="G15" s="115">
        <f>'FY2020 October Account'!$E$15</f>
        <v>0</v>
      </c>
      <c r="H15" s="115">
        <f>'FY2020 November Account'!$E$15</f>
        <v>452.02</v>
      </c>
      <c r="I15" s="115">
        <f>'FY2020 December Account'!$E$15</f>
        <v>0</v>
      </c>
      <c r="J15" s="115">
        <f>'FY2020 January Account'!$E$15</f>
        <v>0</v>
      </c>
      <c r="K15" s="115">
        <f>'FY2020 February Account'!$E$15</f>
        <v>0</v>
      </c>
      <c r="L15" s="115">
        <f>'FY2020 March Account'!$E$15</f>
        <v>0</v>
      </c>
      <c r="M15" s="115">
        <f>'FY2020 April Account'!$E$15</f>
        <v>0</v>
      </c>
      <c r="P15" s="174">
        <f t="shared" si="0"/>
        <v>452.02</v>
      </c>
      <c r="Q15" s="114">
        <f>C15+P15</f>
        <v>452.02</v>
      </c>
    </row>
    <row r="16" spans="1:17" ht="15.75" x14ac:dyDescent="0.2">
      <c r="A16" s="1"/>
      <c r="B16" s="3" t="s">
        <v>140</v>
      </c>
      <c r="C16" s="190">
        <f>'FY2020 Operating Budget'!C16</f>
        <v>0</v>
      </c>
      <c r="D16" s="114">
        <f>'FY2020 July Account'!$E$16</f>
        <v>0</v>
      </c>
      <c r="E16" s="115">
        <f>'FY2020 August Account'!$E$16</f>
        <v>0</v>
      </c>
      <c r="F16" s="114">
        <f>'FY2020 September Account'!$E$16</f>
        <v>0</v>
      </c>
      <c r="G16" s="115">
        <f>'FY2020 October Account'!$E$16</f>
        <v>0</v>
      </c>
      <c r="H16" s="115">
        <f>'FY2020 November Account'!$E$16</f>
        <v>0</v>
      </c>
      <c r="I16" s="115">
        <f>'FY2020 December Account'!$E$16</f>
        <v>0</v>
      </c>
      <c r="J16" s="115">
        <f>'FY2020 January Account'!$E$16</f>
        <v>0</v>
      </c>
      <c r="K16" s="115">
        <f>'FY2020 February Account'!$E$16</f>
        <v>0</v>
      </c>
      <c r="L16" s="115">
        <f>'FY2020 March Account'!$E$16</f>
        <v>0</v>
      </c>
      <c r="M16" s="115">
        <f>'FY2020 April Account'!$E$16</f>
        <v>0</v>
      </c>
      <c r="P16" s="174">
        <f t="shared" si="0"/>
        <v>0</v>
      </c>
      <c r="Q16" s="114">
        <f>C16+P16</f>
        <v>0</v>
      </c>
    </row>
    <row r="17" spans="1:17" x14ac:dyDescent="0.2">
      <c r="A17" s="128" t="s">
        <v>137</v>
      </c>
      <c r="B17" s="2"/>
      <c r="C17" s="191">
        <f>'FY2020 Operating Budget'!C17</f>
        <v>0</v>
      </c>
      <c r="D17" s="155"/>
      <c r="E17" s="155">
        <f>'FY2020 August Account'!$E$17</f>
        <v>0</v>
      </c>
      <c r="F17" s="155"/>
      <c r="G17" s="155">
        <f>'FY2020 October Account'!$E$17</f>
        <v>0</v>
      </c>
      <c r="H17" s="155">
        <f>'FY2020 November Account'!$E$17</f>
        <v>452.02</v>
      </c>
      <c r="I17" s="155">
        <f>'FY2020 December Account'!$E$17</f>
        <v>0</v>
      </c>
      <c r="J17" s="155">
        <f>'FY2020 January Account'!$E$17</f>
        <v>0</v>
      </c>
      <c r="K17" s="155">
        <f>'FY2020 February Account'!$E$17</f>
        <v>0</v>
      </c>
      <c r="L17" s="155">
        <f>'FY2020 March Account'!$E$17</f>
        <v>0</v>
      </c>
      <c r="M17" s="155">
        <f>'FY2020 April Account'!$E$17</f>
        <v>0</v>
      </c>
      <c r="N17" s="113"/>
      <c r="O17" s="113"/>
      <c r="P17" s="177">
        <f t="shared" si="0"/>
        <v>452.02</v>
      </c>
      <c r="Q17" s="155">
        <f>C17+P17</f>
        <v>452.02</v>
      </c>
    </row>
    <row r="18" spans="1:17" ht="15.75" x14ac:dyDescent="0.2">
      <c r="A18" s="1"/>
      <c r="B18" s="1"/>
      <c r="C18" s="190"/>
      <c r="D18" s="114"/>
      <c r="F18" s="114"/>
      <c r="P18" s="174"/>
    </row>
    <row r="19" spans="1:17" x14ac:dyDescent="0.2">
      <c r="A19" s="129" t="s">
        <v>138</v>
      </c>
      <c r="B19" s="125"/>
      <c r="C19" s="192">
        <f>'FY2020 Operating Budget'!C19</f>
        <v>209625.3</v>
      </c>
      <c r="D19" s="156">
        <f>'FY2020 July Account'!$E$19</f>
        <v>-5414.590000000002</v>
      </c>
      <c r="E19" s="164">
        <f>'FY2020 August Account'!$E$19</f>
        <v>12439.51</v>
      </c>
      <c r="F19" s="156">
        <f>'FY2020 September Account'!$E$19</f>
        <v>26711.519999999997</v>
      </c>
      <c r="G19" s="164">
        <f>'FY2020 October Account'!$E$19</f>
        <v>31072.759999999995</v>
      </c>
      <c r="H19" s="164">
        <f>'FY2020 November Account'!$E$19</f>
        <v>-20432.04</v>
      </c>
      <c r="I19" s="164">
        <f>'FY2020 December Account'!$E$19</f>
        <v>-1285.4400000000005</v>
      </c>
      <c r="J19" s="164">
        <f>'FY2020 January Account'!$E$19</f>
        <v>-12695.67</v>
      </c>
      <c r="K19" s="164">
        <f>'FY2020 February Account'!$E$19</f>
        <v>61983.810000000012</v>
      </c>
      <c r="L19" s="164">
        <f>'FY2020 March Account'!$E$19</f>
        <v>-154119.1</v>
      </c>
      <c r="M19" s="164">
        <f>'FY2020 April Account'!$E$19</f>
        <v>64163</v>
      </c>
      <c r="N19" s="149"/>
      <c r="O19" s="149"/>
      <c r="P19" s="176">
        <f t="shared" si="0"/>
        <v>2423.7599999999948</v>
      </c>
      <c r="Q19" s="156">
        <f>C19+P19</f>
        <v>212049.06</v>
      </c>
    </row>
    <row r="20" spans="1:17" ht="15.75" x14ac:dyDescent="0.2">
      <c r="A20" s="1"/>
      <c r="B20" s="1"/>
      <c r="C20" s="190"/>
      <c r="D20" s="114"/>
      <c r="F20" s="114"/>
      <c r="P20" s="174"/>
    </row>
    <row r="21" spans="1:17" x14ac:dyDescent="0.2">
      <c r="A21" s="130" t="s">
        <v>55</v>
      </c>
      <c r="B21" s="131"/>
      <c r="C21" s="193"/>
      <c r="D21" s="157"/>
      <c r="E21" s="150"/>
      <c r="F21" s="157"/>
      <c r="G21" s="150"/>
      <c r="H21" s="150"/>
      <c r="I21" s="150"/>
      <c r="J21" s="150"/>
      <c r="K21" s="150"/>
      <c r="L21" s="150"/>
      <c r="M21" s="150"/>
      <c r="N21" s="150"/>
      <c r="O21" s="150"/>
      <c r="P21" s="178"/>
      <c r="Q21" s="157"/>
    </row>
    <row r="22" spans="1:17" ht="15.75" x14ac:dyDescent="0.2">
      <c r="A22" s="1"/>
      <c r="B22" s="1"/>
      <c r="C22" s="190"/>
      <c r="D22" s="114"/>
      <c r="F22" s="114"/>
      <c r="P22" s="174"/>
    </row>
    <row r="23" spans="1:17" x14ac:dyDescent="0.2">
      <c r="A23" s="127" t="s">
        <v>56</v>
      </c>
      <c r="B23" s="2"/>
      <c r="C23" s="191"/>
      <c r="D23" s="155"/>
      <c r="E23" s="113"/>
      <c r="F23" s="155"/>
      <c r="G23" s="113"/>
      <c r="H23" s="113"/>
      <c r="I23" s="113"/>
      <c r="J23" s="113"/>
      <c r="K23" s="113"/>
      <c r="L23" s="113"/>
      <c r="M23" s="113"/>
      <c r="N23" s="113"/>
      <c r="O23" s="113"/>
      <c r="P23" s="177"/>
      <c r="Q23" s="155"/>
    </row>
    <row r="24" spans="1:17" ht="15.75" x14ac:dyDescent="0.2">
      <c r="A24" s="1"/>
      <c r="B24" s="3" t="s">
        <v>57</v>
      </c>
      <c r="C24" s="190">
        <v>0</v>
      </c>
      <c r="D24" s="114">
        <f>'FY2020 July Account'!$E$24</f>
        <v>699.22</v>
      </c>
      <c r="E24" s="115">
        <f>'FY2020 August Account'!$E$24</f>
        <v>19849.43</v>
      </c>
      <c r="F24" s="114">
        <f>'FY2020 September Account'!$E$24</f>
        <v>45902.83</v>
      </c>
      <c r="G24" s="115">
        <f>'FY2020 October Account'!$E$24</f>
        <v>47658.479999999996</v>
      </c>
      <c r="H24" s="115">
        <f>'FY2020 November Account'!$E$24</f>
        <v>0</v>
      </c>
      <c r="I24" s="115">
        <f>'FY2020 December Account'!$E$24</f>
        <v>10888.55</v>
      </c>
      <c r="J24" s="115">
        <f>'FY2020 January Account'!$E$24</f>
        <v>0</v>
      </c>
      <c r="K24" s="115">
        <f>'FY2020 February Account'!$E$24</f>
        <v>79936.790000000008</v>
      </c>
      <c r="L24" s="115">
        <f>'FY2020 March Account'!$E$24</f>
        <v>5408</v>
      </c>
      <c r="M24" s="115">
        <f>'FY2020 April Account'!$E$24</f>
        <v>0</v>
      </c>
      <c r="P24" s="174">
        <f t="shared" si="0"/>
        <v>210343.30000000002</v>
      </c>
      <c r="Q24" s="158"/>
    </row>
    <row r="25" spans="1:17" ht="15.75" x14ac:dyDescent="0.2">
      <c r="A25" s="1"/>
      <c r="B25" s="3" t="s">
        <v>129</v>
      </c>
      <c r="C25" s="190">
        <f>'FY2020 Operating Budget'!C25</f>
        <v>0</v>
      </c>
      <c r="D25" s="114">
        <f>'FY2020 July Account'!$E$25</f>
        <v>377.85</v>
      </c>
      <c r="E25" s="115">
        <f>'FY2020 August Account'!$E$25</f>
        <v>363.13</v>
      </c>
      <c r="F25" s="114">
        <f>'FY2020 September Account'!$E$25</f>
        <v>414.92</v>
      </c>
      <c r="G25" s="115">
        <f>'FY2020 October Account'!$E$25</f>
        <v>469.36</v>
      </c>
      <c r="H25" s="115">
        <f>'FY2020 November Account'!$E$25</f>
        <v>407.76</v>
      </c>
      <c r="I25" s="115">
        <f>'FY2020 December Account'!$E$25</f>
        <v>0</v>
      </c>
      <c r="J25" s="115">
        <f>'FY2020 January Account'!$E$25</f>
        <v>390.65</v>
      </c>
      <c r="K25" s="115">
        <f>'FY2020 February Account'!$E$25</f>
        <v>425.72</v>
      </c>
      <c r="L25" s="115">
        <f>'FY2020 March Account'!$E$25</f>
        <v>221.68</v>
      </c>
      <c r="M25" s="115">
        <f>'FY2020 April Account'!$E$25</f>
        <v>0</v>
      </c>
      <c r="P25" s="174">
        <f t="shared" si="0"/>
        <v>3071.07</v>
      </c>
      <c r="Q25" s="158"/>
    </row>
    <row r="26" spans="1:17" ht="15.75" x14ac:dyDescent="0.2">
      <c r="A26" s="1"/>
      <c r="B26" s="3" t="s">
        <v>2019</v>
      </c>
      <c r="C26" s="190">
        <f>'FY2020 Operating Budget'!C26</f>
        <v>0</v>
      </c>
      <c r="D26" s="114">
        <f>'FY2020 July Account'!$E$26</f>
        <v>0</v>
      </c>
      <c r="E26" s="115">
        <f>'FY2020 August Account'!$E$26</f>
        <v>0</v>
      </c>
      <c r="F26" s="114">
        <f>'FY2020 September Account'!$E$26</f>
        <v>0</v>
      </c>
      <c r="G26" s="115">
        <f>'FY2020 October Account'!$E$26</f>
        <v>0</v>
      </c>
      <c r="H26" s="115">
        <f>'FY2020 November Account'!$E$26</f>
        <v>0</v>
      </c>
      <c r="I26" s="115">
        <f>'FY2020 December Account'!$E$26</f>
        <v>0</v>
      </c>
      <c r="J26" s="115">
        <f>'FY2020 January Account'!$E$26</f>
        <v>0</v>
      </c>
      <c r="K26" s="115">
        <f>'FY2020 February Account'!$E$26</f>
        <v>0</v>
      </c>
      <c r="L26" s="115">
        <f>'FY2020 March Account'!$E$26</f>
        <v>0</v>
      </c>
      <c r="M26" s="115">
        <f>'FY2020 April Account'!$E$26</f>
        <v>0</v>
      </c>
      <c r="P26" s="174">
        <f t="shared" si="0"/>
        <v>0</v>
      </c>
      <c r="Q26" s="158"/>
    </row>
    <row r="27" spans="1:17" x14ac:dyDescent="0.2">
      <c r="A27" s="128" t="s">
        <v>58</v>
      </c>
      <c r="B27" s="2"/>
      <c r="C27" s="191">
        <v>0</v>
      </c>
      <c r="D27" s="155">
        <f>'FY2020 July Account'!$E$27</f>
        <v>1077.0700000000002</v>
      </c>
      <c r="E27" s="155">
        <f>'FY2020 August Account'!$E$27</f>
        <v>20212.560000000001</v>
      </c>
      <c r="F27" s="155">
        <f>'FY2020 September Account'!$E$27</f>
        <v>46317.75</v>
      </c>
      <c r="G27" s="155">
        <f>'FY2020 October Account'!$E$27</f>
        <v>48127.839999999997</v>
      </c>
      <c r="H27" s="155">
        <f>'FY2020 November Account'!$E$27</f>
        <v>407.76</v>
      </c>
      <c r="I27" s="155">
        <f>'FY2020 December Account'!$E$27</f>
        <v>10888.55</v>
      </c>
      <c r="J27" s="155">
        <f>'FY2020 January Account'!$E$27</f>
        <v>390.65</v>
      </c>
      <c r="K27" s="155">
        <f>'FY2020 February Account'!$E$27</f>
        <v>80362.510000000009</v>
      </c>
      <c r="L27" s="155">
        <f>'FY2020 March Account'!$E$27</f>
        <v>5629.68</v>
      </c>
      <c r="M27" s="155">
        <f>'FY2020 April Account'!$E$27</f>
        <v>0</v>
      </c>
      <c r="N27" s="113"/>
      <c r="O27" s="113"/>
      <c r="P27" s="177">
        <f t="shared" si="0"/>
        <v>213414.37</v>
      </c>
      <c r="Q27" s="155"/>
    </row>
    <row r="28" spans="1:17" ht="15.75" x14ac:dyDescent="0.2">
      <c r="A28" s="1"/>
      <c r="B28" s="1"/>
      <c r="C28" s="190"/>
      <c r="D28" s="114"/>
      <c r="F28" s="114"/>
      <c r="P28" s="174"/>
    </row>
    <row r="29" spans="1:17" x14ac:dyDescent="0.2">
      <c r="A29" s="127" t="s">
        <v>59</v>
      </c>
      <c r="B29" s="2"/>
      <c r="C29" s="191">
        <f>'FY2020 Operating Budget'!C29</f>
        <v>0</v>
      </c>
      <c r="D29" s="155"/>
      <c r="E29" s="113"/>
      <c r="F29" s="155"/>
      <c r="G29" s="113"/>
      <c r="H29" s="113"/>
      <c r="I29" s="113"/>
      <c r="J29" s="113"/>
      <c r="K29" s="113"/>
      <c r="L29" s="113"/>
      <c r="M29" s="113"/>
      <c r="N29" s="113"/>
      <c r="O29" s="113"/>
      <c r="P29" s="177"/>
      <c r="Q29" s="155"/>
    </row>
    <row r="30" spans="1:17" ht="15.75" x14ac:dyDescent="0.2">
      <c r="A30" s="1"/>
      <c r="B30" s="3" t="s">
        <v>60</v>
      </c>
      <c r="C30" s="190">
        <f>'FY2020 Operating Budget'!C30</f>
        <v>0</v>
      </c>
      <c r="D30" s="114">
        <f>'FY2020 July Account'!$E$30</f>
        <v>0</v>
      </c>
      <c r="E30" s="115">
        <f>'FY2020 August Account'!$E$30</f>
        <v>0</v>
      </c>
      <c r="F30" s="114">
        <f>'FY2020 September Account'!$E$30</f>
        <v>0</v>
      </c>
      <c r="G30" s="115">
        <f>'FY2020 October Account'!$E$30</f>
        <v>0</v>
      </c>
      <c r="H30" s="115">
        <f>'FY2020 November Account'!$E$30</f>
        <v>0</v>
      </c>
      <c r="I30" s="115">
        <f>'FY2020 December Account'!$E$30</f>
        <v>0</v>
      </c>
      <c r="J30" s="115">
        <f>'FY2020 January Account'!$E$30</f>
        <v>0</v>
      </c>
      <c r="K30" s="115">
        <f>'FY2020 February Account'!$E$30</f>
        <v>0</v>
      </c>
      <c r="L30" s="115">
        <f>'FY2020 March Account'!$E$30</f>
        <v>0</v>
      </c>
      <c r="M30" s="115">
        <f>'FY2020 April Account'!$E$30</f>
        <v>0</v>
      </c>
      <c r="P30" s="174">
        <f t="shared" si="0"/>
        <v>0</v>
      </c>
      <c r="Q30" s="158"/>
    </row>
    <row r="31" spans="1:17" ht="15.75" x14ac:dyDescent="0.2">
      <c r="A31" s="1"/>
      <c r="B31" s="3" t="s">
        <v>2018</v>
      </c>
      <c r="C31" s="190">
        <f>'FY2020 Operating Budget'!C31</f>
        <v>0</v>
      </c>
      <c r="D31" s="114">
        <f>'FY2020 July Account'!$E$31</f>
        <v>0</v>
      </c>
      <c r="E31" s="115">
        <f>'FY2020 August Account'!$E$31</f>
        <v>421</v>
      </c>
      <c r="F31" s="114">
        <f>'FY2020 September Account'!$E$31</f>
        <v>0</v>
      </c>
      <c r="G31" s="115">
        <f>'FY2020 October Account'!$E$31</f>
        <v>0</v>
      </c>
      <c r="H31" s="115">
        <f>'FY2020 November Account'!$E$31</f>
        <v>0</v>
      </c>
      <c r="I31" s="115">
        <f>'FY2020 December Account'!$E$31</f>
        <v>0</v>
      </c>
      <c r="J31" s="115">
        <f>'FY2020 January Account'!$E$31</f>
        <v>0</v>
      </c>
      <c r="K31" s="115">
        <f>'FY2020 February Account'!$E$31</f>
        <v>0</v>
      </c>
      <c r="L31" s="115">
        <f>'FY2020 March Account'!$E$31</f>
        <v>0</v>
      </c>
      <c r="M31" s="115">
        <f>'FY2020 April Account'!$E$31</f>
        <v>0</v>
      </c>
      <c r="P31" s="174">
        <f t="shared" si="0"/>
        <v>421</v>
      </c>
      <c r="Q31" s="158"/>
    </row>
    <row r="32" spans="1:17" x14ac:dyDescent="0.2">
      <c r="A32" s="128" t="s">
        <v>61</v>
      </c>
      <c r="B32" s="2"/>
      <c r="C32" s="191">
        <f>'FY2020 Operating Budget'!C32</f>
        <v>0</v>
      </c>
      <c r="D32" s="155">
        <f>'FY2020 July Account'!$E$32</f>
        <v>0</v>
      </c>
      <c r="E32" s="155">
        <f>'FY2020 August Account'!$E$32</f>
        <v>421</v>
      </c>
      <c r="F32" s="155">
        <f>'FY2020 September Account'!$E$32</f>
        <v>0</v>
      </c>
      <c r="G32" s="155">
        <f>'FY2020 October Account'!$E$32</f>
        <v>0</v>
      </c>
      <c r="H32" s="155">
        <f>'FY2020 November Account'!$E$32</f>
        <v>0</v>
      </c>
      <c r="I32" s="155">
        <f>'FY2020 December Account'!$E$32</f>
        <v>0</v>
      </c>
      <c r="J32" s="155">
        <f>'FY2020 January Account'!$E$32</f>
        <v>0</v>
      </c>
      <c r="K32" s="155">
        <f>'FY2020 February Account'!$E$32</f>
        <v>0</v>
      </c>
      <c r="L32" s="155">
        <f>'FY2020 March Account'!$E$32</f>
        <v>0</v>
      </c>
      <c r="M32" s="155">
        <f>'FY2020 April Account'!$E$32</f>
        <v>0</v>
      </c>
      <c r="N32" s="113"/>
      <c r="O32" s="113"/>
      <c r="P32" s="177">
        <f t="shared" si="0"/>
        <v>421</v>
      </c>
      <c r="Q32" s="155"/>
    </row>
    <row r="33" spans="1:17" ht="15.75" x14ac:dyDescent="0.2">
      <c r="A33" s="1"/>
      <c r="B33" s="1"/>
      <c r="C33" s="190"/>
      <c r="D33" s="114"/>
      <c r="F33" s="114"/>
      <c r="P33" s="174"/>
    </row>
    <row r="34" spans="1:17" x14ac:dyDescent="0.2">
      <c r="A34" s="132" t="s">
        <v>62</v>
      </c>
      <c r="B34" s="130"/>
      <c r="C34" s="193">
        <v>0</v>
      </c>
      <c r="D34" s="157">
        <f>'FY2020 July Account'!$E$34</f>
        <v>1077.0700000000002</v>
      </c>
      <c r="E34" s="165">
        <f>'FY2020 August Account'!$E$34</f>
        <v>20633.560000000001</v>
      </c>
      <c r="F34" s="157">
        <f>'FY2020 September Account'!$E$34</f>
        <v>46317.75</v>
      </c>
      <c r="G34" s="165">
        <f>'FY2020 October Account'!$E$34</f>
        <v>48127.839999999997</v>
      </c>
      <c r="H34" s="165">
        <f>'FY2020 November Account'!$E$34</f>
        <v>407.76</v>
      </c>
      <c r="I34" s="165">
        <f>'FY2020 December Account'!$E$34</f>
        <v>10888.55</v>
      </c>
      <c r="J34" s="165">
        <f>'FY2020 January Account'!$E$34</f>
        <v>390.65</v>
      </c>
      <c r="K34" s="165">
        <f>'FY2020 February Account'!$E$34</f>
        <v>80362.510000000009</v>
      </c>
      <c r="L34" s="165">
        <f>'FY2020 March Account'!$E$34</f>
        <v>5629.68</v>
      </c>
      <c r="M34" s="165">
        <f>'FY2020 April Account'!$E$34</f>
        <v>0</v>
      </c>
      <c r="N34" s="150"/>
      <c r="O34" s="150"/>
      <c r="P34" s="178">
        <f t="shared" si="0"/>
        <v>213835.37</v>
      </c>
      <c r="Q34" s="157">
        <f>C34+P34</f>
        <v>213835.37</v>
      </c>
    </row>
    <row r="35" spans="1:17" ht="15.75" x14ac:dyDescent="0.2">
      <c r="A35" s="1"/>
      <c r="B35" s="1"/>
      <c r="C35" s="190"/>
      <c r="D35" s="114"/>
      <c r="F35" s="114"/>
      <c r="P35" s="174"/>
    </row>
    <row r="36" spans="1:17" ht="15.75" x14ac:dyDescent="0.2">
      <c r="A36" s="147" t="s">
        <v>169</v>
      </c>
      <c r="B36" s="147"/>
      <c r="C36" s="194">
        <f>'FY2020 Operating Budget'!C36</f>
        <v>0</v>
      </c>
      <c r="D36" s="158">
        <f>'FY2020 July Account'!$E$36</f>
        <v>0</v>
      </c>
      <c r="E36" s="148"/>
      <c r="F36" s="158">
        <f>'FY2020 September Account'!$E$36</f>
        <v>0</v>
      </c>
      <c r="G36" s="148"/>
      <c r="H36" s="148"/>
      <c r="I36" s="148"/>
      <c r="J36" s="148"/>
      <c r="K36" s="148"/>
      <c r="L36" s="148"/>
      <c r="M36" s="148"/>
      <c r="N36" s="148"/>
      <c r="O36" s="148"/>
      <c r="P36" s="175">
        <f t="shared" si="0"/>
        <v>0</v>
      </c>
      <c r="Q36" s="158">
        <f t="shared" si="1"/>
        <v>0</v>
      </c>
    </row>
    <row r="37" spans="1:17" ht="15.75" x14ac:dyDescent="0.2">
      <c r="A37" s="1"/>
      <c r="B37" s="1"/>
      <c r="C37" s="190"/>
      <c r="D37" s="114"/>
      <c r="F37" s="114"/>
      <c r="P37" s="174"/>
    </row>
    <row r="38" spans="1:17" x14ac:dyDescent="0.2">
      <c r="A38" s="151" t="s">
        <v>63</v>
      </c>
      <c r="B38" s="152"/>
      <c r="C38" s="195"/>
      <c r="D38" s="159"/>
      <c r="E38" s="153"/>
      <c r="F38" s="159"/>
      <c r="G38" s="153"/>
      <c r="H38" s="153"/>
      <c r="I38" s="153"/>
      <c r="J38" s="153"/>
      <c r="K38" s="153"/>
      <c r="L38" s="153"/>
      <c r="M38" s="153"/>
      <c r="N38" s="153"/>
      <c r="O38" s="153"/>
      <c r="P38" s="179"/>
      <c r="Q38" s="159"/>
    </row>
    <row r="39" spans="1:17" x14ac:dyDescent="0.2">
      <c r="A39" s="133"/>
      <c r="B39" s="3"/>
      <c r="C39" s="190"/>
      <c r="D39" s="114"/>
      <c r="F39" s="114"/>
      <c r="P39" s="174"/>
    </row>
    <row r="40" spans="1:17" x14ac:dyDescent="0.2">
      <c r="A40" s="127" t="s">
        <v>64</v>
      </c>
      <c r="B40" s="2"/>
      <c r="C40" s="191"/>
      <c r="D40" s="155"/>
      <c r="E40" s="113"/>
      <c r="F40" s="155"/>
      <c r="G40" s="113"/>
      <c r="H40" s="113"/>
      <c r="I40" s="113"/>
      <c r="J40" s="113"/>
      <c r="K40" s="113"/>
      <c r="L40" s="113"/>
      <c r="M40" s="113"/>
      <c r="N40" s="113"/>
      <c r="O40" s="113"/>
      <c r="P40" s="177"/>
      <c r="Q40" s="155"/>
    </row>
    <row r="41" spans="1:17" x14ac:dyDescent="0.2">
      <c r="A41" s="3"/>
      <c r="B41" s="3" t="s">
        <v>65</v>
      </c>
      <c r="C41" s="190">
        <f>'FY2020 Operating Budget'!C41</f>
        <v>6500</v>
      </c>
      <c r="D41" s="114">
        <f>'FY2020 July Account'!$E$41</f>
        <v>0</v>
      </c>
      <c r="E41" s="115">
        <f>'FY2020 August Account'!$E$41</f>
        <v>650</v>
      </c>
      <c r="F41" s="114">
        <f>'FY2020 September Account'!$E$41</f>
        <v>650</v>
      </c>
      <c r="G41" s="115">
        <f>'FY2020 October Account'!$E$41</f>
        <v>650</v>
      </c>
      <c r="H41" s="115">
        <f>'FY2020 November Account'!$E$41</f>
        <v>650</v>
      </c>
      <c r="I41" s="115">
        <f>'FY2020 December Account'!$E$41</f>
        <v>650</v>
      </c>
      <c r="J41" s="115">
        <f>'FY2020 January Account'!$E$41</f>
        <v>650</v>
      </c>
      <c r="K41" s="115">
        <f>'FY2020 February Account'!$E$41</f>
        <v>650</v>
      </c>
      <c r="L41" s="115">
        <f>'FY2020 March Account'!$E$41</f>
        <v>650</v>
      </c>
      <c r="M41" s="115">
        <f>'FY2020 April Account'!$E$41</f>
        <v>0</v>
      </c>
      <c r="P41" s="174">
        <f t="shared" si="0"/>
        <v>5200</v>
      </c>
      <c r="Q41" s="114">
        <f t="shared" si="1"/>
        <v>1300</v>
      </c>
    </row>
    <row r="42" spans="1:17" x14ac:dyDescent="0.2">
      <c r="A42" s="3"/>
      <c r="B42" s="3" t="s">
        <v>66</v>
      </c>
      <c r="C42" s="190">
        <f>'FY2020 Operating Budget'!C42</f>
        <v>4000</v>
      </c>
      <c r="D42" s="114">
        <f>'FY2020 July Account'!$E$42</f>
        <v>0</v>
      </c>
      <c r="E42" s="114">
        <f>'FY2020 August Account'!$E$42</f>
        <v>400</v>
      </c>
      <c r="F42" s="114">
        <f>'FY2020 September Account'!$E$42</f>
        <v>400</v>
      </c>
      <c r="G42" s="114">
        <f>'FY2020 October Account'!$E$42</f>
        <v>400</v>
      </c>
      <c r="H42" s="114">
        <f>'FY2020 November Account'!$E$42</f>
        <v>400</v>
      </c>
      <c r="I42" s="114">
        <f>'FY2020 December Account'!$E$42</f>
        <v>400</v>
      </c>
      <c r="J42" s="114">
        <f>'FY2020 January Account'!$E$42</f>
        <v>400</v>
      </c>
      <c r="K42" s="114">
        <f>'FY2020 February Account'!$E$42</f>
        <v>400</v>
      </c>
      <c r="L42" s="114">
        <f>'FY2020 March Account'!$E$42</f>
        <v>400</v>
      </c>
      <c r="M42" s="114">
        <f>'FY2020 April Account'!$E$42</f>
        <v>0</v>
      </c>
      <c r="P42" s="174">
        <f t="shared" si="0"/>
        <v>3200</v>
      </c>
      <c r="Q42" s="114">
        <f t="shared" si="1"/>
        <v>800</v>
      </c>
    </row>
    <row r="43" spans="1:17" x14ac:dyDescent="0.2">
      <c r="A43" s="3"/>
      <c r="B43" s="3" t="s">
        <v>67</v>
      </c>
      <c r="C43" s="190">
        <f>'FY2020 Operating Budget'!C43</f>
        <v>2250</v>
      </c>
      <c r="D43" s="114">
        <f>'FY2020 July Account'!$E$43</f>
        <v>0</v>
      </c>
      <c r="E43" s="114">
        <f>'FY2020 August Account'!$E$43</f>
        <v>225</v>
      </c>
      <c r="F43" s="114">
        <f>'FY2020 September Account'!$E$43</f>
        <v>225</v>
      </c>
      <c r="G43" s="114">
        <f>'FY2020 October Account'!$E$43</f>
        <v>225</v>
      </c>
      <c r="H43" s="114">
        <f>'FY2020 November Account'!$E$43</f>
        <v>225</v>
      </c>
      <c r="I43" s="114">
        <f>'FY2020 December Account'!$E$43</f>
        <v>225</v>
      </c>
      <c r="J43" s="114">
        <f>'FY2020 January Account'!$E$43</f>
        <v>225</v>
      </c>
      <c r="K43" s="114">
        <f>'FY2020 February Account'!$E$43</f>
        <v>225</v>
      </c>
      <c r="L43" s="114">
        <f>'FY2020 March Account'!$E$43</f>
        <v>225</v>
      </c>
      <c r="M43" s="114">
        <f>'FY2020 April Account'!$E$43</f>
        <v>0</v>
      </c>
      <c r="P43" s="174">
        <f t="shared" si="0"/>
        <v>1800</v>
      </c>
      <c r="Q43" s="114">
        <f t="shared" si="1"/>
        <v>450</v>
      </c>
    </row>
    <row r="44" spans="1:17" x14ac:dyDescent="0.2">
      <c r="A44" s="3"/>
      <c r="B44" s="3" t="s">
        <v>68</v>
      </c>
      <c r="C44" s="190">
        <f>'FY2020 Operating Budget'!C44</f>
        <v>2000</v>
      </c>
      <c r="D44" s="114">
        <f>'FY2020 July Account'!$E$44</f>
        <v>0</v>
      </c>
      <c r="E44" s="114">
        <f>'FY2020 August Account'!$E$44</f>
        <v>200</v>
      </c>
      <c r="F44" s="114">
        <f>'FY2020 September Account'!$E$44</f>
        <v>200</v>
      </c>
      <c r="G44" s="114">
        <f>'FY2020 October Account'!$E$44</f>
        <v>200</v>
      </c>
      <c r="H44" s="114">
        <f>'FY2020 November Account'!$E$44</f>
        <v>200</v>
      </c>
      <c r="I44" s="114">
        <f>'FY2020 December Account'!$E$44</f>
        <v>200</v>
      </c>
      <c r="J44" s="114">
        <f>'FY2020 January Account'!$E$44</f>
        <v>200</v>
      </c>
      <c r="K44" s="114">
        <f>'FY2020 February Account'!$E$44</f>
        <v>200</v>
      </c>
      <c r="L44" s="114">
        <f>'FY2020 March Account'!$E$44</f>
        <v>200</v>
      </c>
      <c r="M44" s="114">
        <f>'FY2020 April Account'!$E$44</f>
        <v>0</v>
      </c>
      <c r="P44" s="174">
        <f t="shared" si="0"/>
        <v>1600</v>
      </c>
      <c r="Q44" s="114">
        <f t="shared" si="1"/>
        <v>400</v>
      </c>
    </row>
    <row r="45" spans="1:17" x14ac:dyDescent="0.2">
      <c r="A45" s="3"/>
      <c r="B45" s="3" t="s">
        <v>69</v>
      </c>
      <c r="C45" s="190">
        <f>'FY2020 Operating Budget'!C45</f>
        <v>2000</v>
      </c>
      <c r="D45" s="114">
        <f>'FY2020 July Account'!$E$45</f>
        <v>0</v>
      </c>
      <c r="E45" s="114">
        <f>'FY2020 August Account'!$E$45</f>
        <v>200</v>
      </c>
      <c r="F45" s="114">
        <f>'FY2020 September Account'!$E$45</f>
        <v>200</v>
      </c>
      <c r="G45" s="114">
        <f>'FY2020 October Account'!$E$45</f>
        <v>200</v>
      </c>
      <c r="H45" s="114">
        <f>'FY2020 November Account'!$E$45</f>
        <v>200</v>
      </c>
      <c r="I45" s="114">
        <f>'FY2020 December Account'!$E$45</f>
        <v>200</v>
      </c>
      <c r="J45" s="114">
        <f>'FY2020 January Account'!$E$45</f>
        <v>200</v>
      </c>
      <c r="K45" s="114">
        <f>'FY2020 February Account'!$E$45</f>
        <v>200</v>
      </c>
      <c r="L45" s="114">
        <f>'FY2020 March Account'!$E$45</f>
        <v>200</v>
      </c>
      <c r="M45" s="114">
        <f>'FY2020 April Account'!$E$45</f>
        <v>0</v>
      </c>
      <c r="P45" s="174">
        <f t="shared" si="0"/>
        <v>1600</v>
      </c>
      <c r="Q45" s="114">
        <f t="shared" si="1"/>
        <v>400</v>
      </c>
    </row>
    <row r="46" spans="1:17" x14ac:dyDescent="0.2">
      <c r="A46" s="3"/>
      <c r="B46" s="3" t="s">
        <v>70</v>
      </c>
      <c r="C46" s="190">
        <f>'FY2020 Operating Budget'!C46</f>
        <v>2000</v>
      </c>
      <c r="D46" s="114">
        <f>'FY2020 July Account'!$E$46</f>
        <v>0</v>
      </c>
      <c r="E46" s="114">
        <f>'FY2020 August Account'!$E$46</f>
        <v>200</v>
      </c>
      <c r="F46" s="114">
        <f>'FY2020 September Account'!$E$46</f>
        <v>200</v>
      </c>
      <c r="G46" s="114">
        <f>'FY2020 October Account'!$E$46</f>
        <v>200</v>
      </c>
      <c r="H46" s="114">
        <f>'FY2020 November Account'!$E$46</f>
        <v>200</v>
      </c>
      <c r="I46" s="114">
        <f>'FY2020 December Account'!$E$46</f>
        <v>200</v>
      </c>
      <c r="J46" s="114">
        <f>'FY2020 January Account'!$E$46</f>
        <v>200</v>
      </c>
      <c r="K46" s="114">
        <f>'FY2020 February Account'!$E$46</f>
        <v>200</v>
      </c>
      <c r="L46" s="114">
        <f>'FY2020 March Account'!$E$46</f>
        <v>200</v>
      </c>
      <c r="M46" s="114">
        <f>'FY2020 April Account'!$E$46</f>
        <v>0</v>
      </c>
      <c r="P46" s="174">
        <f t="shared" si="0"/>
        <v>1600</v>
      </c>
      <c r="Q46" s="114">
        <f t="shared" si="1"/>
        <v>400</v>
      </c>
    </row>
    <row r="47" spans="1:17" x14ac:dyDescent="0.2">
      <c r="A47" s="3"/>
      <c r="B47" s="3" t="s">
        <v>71</v>
      </c>
      <c r="C47" s="190">
        <f>'FY2020 Operating Budget'!C47</f>
        <v>2000</v>
      </c>
      <c r="D47" s="114">
        <f>'FY2020 July Account'!$E$47</f>
        <v>0</v>
      </c>
      <c r="E47" s="114">
        <f>'FY2020 August Account'!$E$47</f>
        <v>200</v>
      </c>
      <c r="F47" s="114">
        <f>'FY2020 September Account'!$E$47</f>
        <v>200</v>
      </c>
      <c r="G47" s="114">
        <f>'FY2020 October Account'!$E$47</f>
        <v>200</v>
      </c>
      <c r="H47" s="114">
        <f>'FY2020 November Account'!$E$47</f>
        <v>200</v>
      </c>
      <c r="I47" s="114">
        <f>'FY2020 December Account'!$E$47</f>
        <v>200</v>
      </c>
      <c r="J47" s="114">
        <f>'FY2020 January Account'!$E$47</f>
        <v>200</v>
      </c>
      <c r="K47" s="114">
        <f>'FY2020 February Account'!$E$47</f>
        <v>200</v>
      </c>
      <c r="L47" s="114">
        <f>'FY2020 March Account'!$E$47</f>
        <v>200</v>
      </c>
      <c r="M47" s="114">
        <f>'FY2020 April Account'!$E$47</f>
        <v>0</v>
      </c>
      <c r="P47" s="174">
        <f t="shared" si="0"/>
        <v>1600</v>
      </c>
      <c r="Q47" s="114">
        <f t="shared" si="1"/>
        <v>400</v>
      </c>
    </row>
    <row r="48" spans="1:17" x14ac:dyDescent="0.2">
      <c r="A48" s="3"/>
      <c r="B48" s="3" t="s">
        <v>72</v>
      </c>
      <c r="C48" s="190">
        <f>'FY2020 Operating Budget'!C48</f>
        <v>2000</v>
      </c>
      <c r="D48" s="114">
        <f>'FY2020 July Account'!$E$48</f>
        <v>0</v>
      </c>
      <c r="E48" s="114">
        <f>'FY2020 August Account'!$E$48</f>
        <v>200</v>
      </c>
      <c r="F48" s="114">
        <f>'FY2020 September Account'!$E$48</f>
        <v>200</v>
      </c>
      <c r="G48" s="114">
        <f>'FY2020 October Account'!$E$48</f>
        <v>200</v>
      </c>
      <c r="H48" s="114">
        <f>'FY2020 November Account'!$E$48</f>
        <v>200</v>
      </c>
      <c r="I48" s="114">
        <f>'FY2020 December Account'!$E$48</f>
        <v>200</v>
      </c>
      <c r="J48" s="114">
        <f>'FY2020 January Account'!$E$48</f>
        <v>200</v>
      </c>
      <c r="K48" s="114">
        <f>'FY2020 February Account'!$E$48</f>
        <v>200</v>
      </c>
      <c r="L48" s="114">
        <f>'FY2020 March Account'!$E$48</f>
        <v>200</v>
      </c>
      <c r="M48" s="114">
        <f>'FY2020 April Account'!$E$48</f>
        <v>0</v>
      </c>
      <c r="P48" s="174">
        <f t="shared" si="0"/>
        <v>1600</v>
      </c>
      <c r="Q48" s="114">
        <f t="shared" si="1"/>
        <v>400</v>
      </c>
    </row>
    <row r="49" spans="1:17" x14ac:dyDescent="0.2">
      <c r="A49" s="3"/>
      <c r="B49" s="3" t="s">
        <v>73</v>
      </c>
      <c r="C49" s="190">
        <f>'FY2020 Operating Budget'!C49</f>
        <v>2000</v>
      </c>
      <c r="D49" s="114">
        <f>'FY2020 July Account'!$E$49</f>
        <v>0</v>
      </c>
      <c r="E49" s="114">
        <f>'FY2020 August Account'!$E$49</f>
        <v>200</v>
      </c>
      <c r="F49" s="114">
        <f>'FY2020 September Account'!$E$49</f>
        <v>200</v>
      </c>
      <c r="G49" s="114">
        <f>'FY2020 October Account'!$E$49</f>
        <v>200</v>
      </c>
      <c r="H49" s="114">
        <f>'FY2020 November Account'!$E$49</f>
        <v>200</v>
      </c>
      <c r="I49" s="114">
        <f>'FY2020 December Account'!$E$49</f>
        <v>200</v>
      </c>
      <c r="J49" s="114">
        <f>'FY2020 January Account'!$E$49</f>
        <v>200</v>
      </c>
      <c r="K49" s="114">
        <f>'FY2020 February Account'!$E$49</f>
        <v>200</v>
      </c>
      <c r="L49" s="114">
        <f>'FY2020 March Account'!$E$49</f>
        <v>200</v>
      </c>
      <c r="M49" s="114">
        <f>'FY2020 April Account'!$E$49</f>
        <v>0</v>
      </c>
      <c r="P49" s="174">
        <f t="shared" si="0"/>
        <v>1600</v>
      </c>
      <c r="Q49" s="114">
        <f t="shared" si="1"/>
        <v>400</v>
      </c>
    </row>
    <row r="50" spans="1:17" x14ac:dyDescent="0.2">
      <c r="A50" s="128" t="s">
        <v>74</v>
      </c>
      <c r="B50" s="2"/>
      <c r="C50" s="191">
        <f>'FY2020 Operating Budget'!C50</f>
        <v>24750</v>
      </c>
      <c r="D50" s="155">
        <f>'FY2020 July Account'!$E$50</f>
        <v>0</v>
      </c>
      <c r="E50" s="155">
        <f>'FY2020 August Account'!$E$50</f>
        <v>2475</v>
      </c>
      <c r="F50" s="155">
        <f>'FY2020 September Account'!$E$50</f>
        <v>2475</v>
      </c>
      <c r="G50" s="155">
        <f>'FY2020 October Account'!$E$50</f>
        <v>2475</v>
      </c>
      <c r="H50" s="155">
        <f>'FY2020 November Account'!$E$50</f>
        <v>2475</v>
      </c>
      <c r="I50" s="155">
        <f>'FY2020 December Account'!$E$50</f>
        <v>2475</v>
      </c>
      <c r="J50" s="155">
        <f>'FY2020 January Account'!$E$50</f>
        <v>2475</v>
      </c>
      <c r="K50" s="155">
        <f>'FY2020 February Account'!$E$50</f>
        <v>2475</v>
      </c>
      <c r="L50" s="155">
        <f>'FY2020 March Account'!$E$50</f>
        <v>2475</v>
      </c>
      <c r="M50" s="155">
        <f>'FY2020 April Account'!$E$50</f>
        <v>0</v>
      </c>
      <c r="N50" s="113"/>
      <c r="O50" s="113"/>
      <c r="P50" s="177">
        <f t="shared" si="0"/>
        <v>19800</v>
      </c>
      <c r="Q50" s="155">
        <f t="shared" si="1"/>
        <v>4950</v>
      </c>
    </row>
    <row r="51" spans="1:17" x14ac:dyDescent="0.2">
      <c r="A51" s="3"/>
      <c r="B51" s="3"/>
      <c r="C51" s="190"/>
      <c r="D51" s="114"/>
      <c r="F51" s="114"/>
      <c r="P51" s="174"/>
    </row>
    <row r="52" spans="1:17" x14ac:dyDescent="0.2">
      <c r="A52" s="127" t="s">
        <v>75</v>
      </c>
      <c r="B52" s="2"/>
      <c r="C52" s="191"/>
      <c r="D52" s="155"/>
      <c r="E52" s="113"/>
      <c r="F52" s="155"/>
      <c r="G52" s="113"/>
      <c r="H52" s="113"/>
      <c r="I52" s="113"/>
      <c r="J52" s="113"/>
      <c r="K52" s="113"/>
      <c r="L52" s="113"/>
      <c r="M52" s="113"/>
      <c r="N52" s="113"/>
      <c r="O52" s="113"/>
      <c r="P52" s="177"/>
      <c r="Q52" s="155"/>
    </row>
    <row r="53" spans="1:17" x14ac:dyDescent="0.2">
      <c r="A53" s="3"/>
      <c r="B53" s="3" t="s">
        <v>76</v>
      </c>
      <c r="C53" s="190">
        <f>'FY2020 Operating Budget'!C53</f>
        <v>53000</v>
      </c>
      <c r="D53" s="114">
        <f>'FY2020 July Account'!$E$53</f>
        <v>4416.6400000000003</v>
      </c>
      <c r="E53" s="114">
        <f>'FY2020 August Account'!$E$53</f>
        <v>4416.6400000000003</v>
      </c>
      <c r="F53" s="114">
        <f>'FY2020 September Account'!$E$53</f>
        <v>4416.6400000000003</v>
      </c>
      <c r="G53" s="114">
        <f>'FY2020 October Account'!$E$53</f>
        <v>4416.6400000000003</v>
      </c>
      <c r="H53" s="114">
        <f>'FY2020 November Account'!$E$53</f>
        <v>4416.6400000000003</v>
      </c>
      <c r="I53" s="114">
        <f>'FY2020 December Account'!$E$53</f>
        <v>4416.6400000000003</v>
      </c>
      <c r="J53" s="114">
        <f>'FY2020 January Account'!$E$53</f>
        <v>4416.6400000000003</v>
      </c>
      <c r="K53" s="114">
        <f>'FY2020 February Account'!$E$53</f>
        <v>4416.6400000000003</v>
      </c>
      <c r="L53" s="114">
        <f>'FY2020 March Account'!$E$53</f>
        <v>4416.6400000000003</v>
      </c>
      <c r="M53" s="114">
        <f>'FY2020 April Account'!$E$53</f>
        <v>0</v>
      </c>
      <c r="P53" s="174">
        <f t="shared" si="0"/>
        <v>39749.760000000002</v>
      </c>
      <c r="Q53" s="114">
        <f t="shared" si="1"/>
        <v>13250.239999999998</v>
      </c>
    </row>
    <row r="54" spans="1:17" x14ac:dyDescent="0.2">
      <c r="A54" s="3"/>
      <c r="B54" s="3" t="s">
        <v>77</v>
      </c>
      <c r="C54" s="190">
        <f>'FY2020 Operating Budget'!C54</f>
        <v>6810.5</v>
      </c>
      <c r="D54" s="114">
        <f>'FY2020 July Account'!$E$54</f>
        <v>302.10000000000002</v>
      </c>
      <c r="E54" s="114">
        <f>'FY2020 August Account'!$E$54</f>
        <v>302.10000000000002</v>
      </c>
      <c r="F54" s="114">
        <f>'FY2020 September Account'!$E$54</f>
        <v>302.10000000000002</v>
      </c>
      <c r="G54" s="114">
        <f>'FY2020 October Account'!$E$54</f>
        <v>302.10000000000002</v>
      </c>
      <c r="H54" s="114">
        <f>'FY2020 November Account'!$E$54</f>
        <v>302.10000000000002</v>
      </c>
      <c r="I54" s="114">
        <f>'FY2020 December Account'!$E$54</f>
        <v>302.10000000000002</v>
      </c>
      <c r="J54" s="114">
        <f>'FY2020 January Account'!$E$54</f>
        <v>302.10000000000002</v>
      </c>
      <c r="K54" s="114">
        <f>'FY2020 February Account'!$E$54</f>
        <v>302.10000000000002</v>
      </c>
      <c r="L54" s="114">
        <f>'FY2020 March Account'!$E$54</f>
        <v>302.10000000000002</v>
      </c>
      <c r="M54" s="114">
        <f>'FY2020 April Account'!$E$54</f>
        <v>0</v>
      </c>
      <c r="P54" s="174">
        <f t="shared" si="0"/>
        <v>2718.8999999999996</v>
      </c>
      <c r="Q54" s="114">
        <f t="shared" si="1"/>
        <v>4091.6000000000004</v>
      </c>
    </row>
    <row r="55" spans="1:17" x14ac:dyDescent="0.2">
      <c r="A55" s="3"/>
      <c r="B55" s="3" t="s">
        <v>78</v>
      </c>
      <c r="C55" s="190">
        <f>'FY2020 Operating Budget'!C55</f>
        <v>5564.16</v>
      </c>
      <c r="D55" s="114">
        <f>'FY2020 July Account'!$E$55</f>
        <v>631.39</v>
      </c>
      <c r="E55" s="114">
        <f>'FY2020 August Account'!$E$55</f>
        <v>631.39</v>
      </c>
      <c r="F55" s="114">
        <f>'FY2020 September Account'!$E$55</f>
        <v>638.45000000000005</v>
      </c>
      <c r="G55" s="114">
        <f>'FY2020 October Account'!$E$55</f>
        <v>652.57999999999993</v>
      </c>
      <c r="H55" s="114">
        <f>'FY2020 November Account'!$E$55</f>
        <v>638.45000000000005</v>
      </c>
      <c r="I55" s="114">
        <f>'FY2020 December Account'!$E$55</f>
        <v>647.66000000000008</v>
      </c>
      <c r="J55" s="114">
        <f>'FY2020 January Account'!$E$55</f>
        <v>647.66000000000008</v>
      </c>
      <c r="K55" s="114">
        <f>'FY2020 February Account'!$E$55</f>
        <v>647.66000000000008</v>
      </c>
      <c r="L55" s="114">
        <f>'FY2020 March Account'!$E$55</f>
        <v>647.66000000000008</v>
      </c>
      <c r="M55" s="114">
        <f>'FY2020 April Account'!$E$55</f>
        <v>0</v>
      </c>
      <c r="P55" s="174">
        <f t="shared" si="0"/>
        <v>5782.9</v>
      </c>
      <c r="Q55" s="114">
        <f t="shared" si="1"/>
        <v>-218.73999999999978</v>
      </c>
    </row>
    <row r="56" spans="1:17" x14ac:dyDescent="0.2">
      <c r="A56" s="3"/>
      <c r="B56" s="3" t="s">
        <v>79</v>
      </c>
      <c r="C56" s="190">
        <f>'FY2020 Operating Budget'!C56</f>
        <v>3286</v>
      </c>
      <c r="D56" s="114">
        <f>'FY2020 July Account'!$E$56</f>
        <v>269.35000000000002</v>
      </c>
      <c r="E56" s="114">
        <f>'FY2020 August Account'!$E$56</f>
        <v>269.35000000000002</v>
      </c>
      <c r="F56" s="114">
        <f>'FY2020 September Account'!$E$56</f>
        <v>269.35000000000002</v>
      </c>
      <c r="G56" s="114">
        <f>'FY2020 October Account'!$E$56</f>
        <v>269.35000000000002</v>
      </c>
      <c r="H56" s="114">
        <f>'FY2020 November Account'!$E$56</f>
        <v>269.35000000000002</v>
      </c>
      <c r="I56" s="114">
        <f>'FY2020 December Account'!$E$56</f>
        <v>269.35000000000002</v>
      </c>
      <c r="J56" s="114">
        <f>'FY2020 January Account'!$E$56</f>
        <v>269.29000000000002</v>
      </c>
      <c r="K56" s="114">
        <f>'FY2020 February Account'!$E$56</f>
        <v>269.29000000000002</v>
      </c>
      <c r="L56" s="114">
        <f>'FY2020 March Account'!$E$56</f>
        <v>269.29000000000002</v>
      </c>
      <c r="M56" s="114">
        <f>'FY2020 April Account'!$E$56</f>
        <v>0</v>
      </c>
      <c r="P56" s="174">
        <f t="shared" si="0"/>
        <v>2423.9699999999998</v>
      </c>
      <c r="Q56" s="114">
        <f t="shared" si="1"/>
        <v>862.0300000000002</v>
      </c>
    </row>
    <row r="57" spans="1:17" x14ac:dyDescent="0.2">
      <c r="A57" s="3"/>
      <c r="B57" s="3" t="s">
        <v>80</v>
      </c>
      <c r="C57" s="190">
        <f>'FY2020 Operating Budget'!C57</f>
        <v>768.5</v>
      </c>
      <c r="D57" s="114">
        <f>'FY2020 July Account'!$E$57</f>
        <v>63</v>
      </c>
      <c r="E57" s="114">
        <f>'FY2020 August Account'!$E$57</f>
        <v>62.99</v>
      </c>
      <c r="F57" s="114">
        <f>'FY2020 September Account'!$E$57</f>
        <v>63</v>
      </c>
      <c r="G57" s="114">
        <f>'FY2020 October Account'!$E$57</f>
        <v>62.99</v>
      </c>
      <c r="H57" s="114">
        <f>'FY2020 November Account'!$E$57</f>
        <v>63</v>
      </c>
      <c r="I57" s="114">
        <f>'FY2020 December Account'!$E$57</f>
        <v>63</v>
      </c>
      <c r="J57" s="114">
        <f>'FY2020 January Account'!$E$57</f>
        <v>62.98</v>
      </c>
      <c r="K57" s="114">
        <f>'FY2020 February Account'!$E$57</f>
        <v>62.98</v>
      </c>
      <c r="L57" s="114">
        <f>'FY2020 March Account'!$E$57</f>
        <v>62.98</v>
      </c>
      <c r="M57" s="114">
        <f>'FY2020 April Account'!$E$57</f>
        <v>0</v>
      </c>
      <c r="P57" s="174">
        <f t="shared" si="0"/>
        <v>566.92000000000007</v>
      </c>
      <c r="Q57" s="114">
        <f t="shared" si="1"/>
        <v>201.57999999999993</v>
      </c>
    </row>
    <row r="58" spans="1:17" x14ac:dyDescent="0.2">
      <c r="A58" s="128" t="s">
        <v>81</v>
      </c>
      <c r="B58" s="2"/>
      <c r="C58" s="191">
        <f>'FY2020 Operating Budget'!C58</f>
        <v>69429.16</v>
      </c>
      <c r="D58" s="155">
        <f>'FY2020 July Account'!$E$58</f>
        <v>5682.4800000000014</v>
      </c>
      <c r="E58" s="155">
        <f>'FY2020 August Account'!$E$58</f>
        <v>5682.4700000000012</v>
      </c>
      <c r="F58" s="155">
        <f>'FY2020 September Account'!$E$58</f>
        <v>5689.5400000000009</v>
      </c>
      <c r="G58" s="155">
        <f>'FY2020 October Account'!$E$58</f>
        <v>5703.6600000000008</v>
      </c>
      <c r="H58" s="155">
        <f>'FY2020 November Account'!$E$58</f>
        <v>5689.5400000000009</v>
      </c>
      <c r="I58" s="155">
        <f>'FY2020 December Account'!$E$58</f>
        <v>5698.7500000000009</v>
      </c>
      <c r="J58" s="155">
        <f>'FY2020 January Account'!$E$58</f>
        <v>5698.67</v>
      </c>
      <c r="K58" s="155">
        <f>'FY2020 February Account'!$E$58</f>
        <v>5698.67</v>
      </c>
      <c r="L58" s="155">
        <f>'FY2020 March Account'!$E$58</f>
        <v>5698.67</v>
      </c>
      <c r="M58" s="155">
        <f>'FY2020 April Account'!$E$58</f>
        <v>0</v>
      </c>
      <c r="N58" s="113"/>
      <c r="O58" s="113"/>
      <c r="P58" s="177">
        <f t="shared" si="0"/>
        <v>51242.450000000004</v>
      </c>
      <c r="Q58" s="155">
        <f t="shared" si="1"/>
        <v>18186.71</v>
      </c>
    </row>
    <row r="59" spans="1:17" x14ac:dyDescent="0.2">
      <c r="A59" s="3"/>
      <c r="B59" s="3"/>
      <c r="C59" s="190"/>
      <c r="D59" s="114"/>
      <c r="F59" s="114"/>
      <c r="P59" s="174"/>
    </row>
    <row r="60" spans="1:17" x14ac:dyDescent="0.2">
      <c r="A60" s="127" t="s">
        <v>82</v>
      </c>
      <c r="B60" s="2"/>
      <c r="C60" s="191"/>
      <c r="D60" s="155"/>
      <c r="E60" s="113"/>
      <c r="F60" s="155"/>
      <c r="G60" s="113"/>
      <c r="H60" s="113"/>
      <c r="I60" s="113"/>
      <c r="J60" s="113"/>
      <c r="K60" s="113"/>
      <c r="L60" s="113"/>
      <c r="M60" s="113"/>
      <c r="N60" s="113"/>
      <c r="O60" s="113"/>
      <c r="P60" s="177"/>
      <c r="Q60" s="155"/>
    </row>
    <row r="61" spans="1:17" x14ac:dyDescent="0.2">
      <c r="A61" s="3"/>
      <c r="B61" s="3" t="s">
        <v>83</v>
      </c>
      <c r="C61" s="190">
        <f>'FY2020 Operating Budget'!C61</f>
        <v>17000</v>
      </c>
      <c r="D61" s="114">
        <f>'FY2020 July Account'!$E$61</f>
        <v>0</v>
      </c>
      <c r="E61" s="114">
        <f>'FY2020 August Account'!$E$61</f>
        <v>0</v>
      </c>
      <c r="F61" s="114">
        <f>'FY2020 September Account'!$E$61</f>
        <v>0</v>
      </c>
      <c r="G61" s="114">
        <f>'FY2020 October Account'!$E$61</f>
        <v>2125</v>
      </c>
      <c r="H61" s="114">
        <f>'FY2020 November Account'!$E$61</f>
        <v>2125</v>
      </c>
      <c r="I61" s="114">
        <f>'FY2020 December Account'!$E$61</f>
        <v>2125</v>
      </c>
      <c r="J61" s="114">
        <f>'FY2020 January Account'!$E$61</f>
        <v>2125</v>
      </c>
      <c r="K61" s="114">
        <f>'FY2020 February Account'!$E$61</f>
        <v>2125</v>
      </c>
      <c r="L61" s="114">
        <f>'FY2020 March Account'!$E$61</f>
        <v>2125</v>
      </c>
      <c r="M61" s="114">
        <f>'FY2020 April Account'!$E$61</f>
        <v>0</v>
      </c>
      <c r="P61" s="174">
        <f t="shared" si="0"/>
        <v>12750</v>
      </c>
      <c r="Q61" s="114">
        <f t="shared" si="1"/>
        <v>4250</v>
      </c>
    </row>
    <row r="62" spans="1:17" x14ac:dyDescent="0.2">
      <c r="A62" s="128" t="s">
        <v>84</v>
      </c>
      <c r="B62" s="2"/>
      <c r="C62" s="191">
        <f>'FY2020 Operating Budget'!C62</f>
        <v>17000</v>
      </c>
      <c r="D62" s="155">
        <f>'FY2020 July Account'!$E$62</f>
        <v>0</v>
      </c>
      <c r="E62" s="155">
        <f>'FY2020 August Account'!$E$62</f>
        <v>0</v>
      </c>
      <c r="F62" s="155">
        <f>'FY2020 September Account'!$E$62</f>
        <v>0</v>
      </c>
      <c r="G62" s="155">
        <f>'FY2020 October Account'!$E$62</f>
        <v>2125</v>
      </c>
      <c r="H62" s="155">
        <f>'FY2020 November Account'!$E$62</f>
        <v>2125</v>
      </c>
      <c r="I62" s="155">
        <f>'FY2020 December Account'!$E$62</f>
        <v>2125</v>
      </c>
      <c r="J62" s="155">
        <f>'FY2020 January Account'!$E$62</f>
        <v>2125</v>
      </c>
      <c r="K62" s="155">
        <f>'FY2020 February Account'!$E$62</f>
        <v>2125</v>
      </c>
      <c r="L62" s="155">
        <f>'FY2020 March Account'!$E$62</f>
        <v>2125</v>
      </c>
      <c r="M62" s="155">
        <f>'FY2020 April Account'!$E$62</f>
        <v>0</v>
      </c>
      <c r="N62" s="113"/>
      <c r="O62" s="113"/>
      <c r="P62" s="177">
        <f t="shared" si="0"/>
        <v>12750</v>
      </c>
      <c r="Q62" s="155">
        <f t="shared" si="1"/>
        <v>4250</v>
      </c>
    </row>
    <row r="63" spans="1:17" x14ac:dyDescent="0.2">
      <c r="A63" s="3"/>
      <c r="B63" s="3"/>
      <c r="C63" s="190"/>
      <c r="D63" s="114"/>
      <c r="F63" s="114"/>
      <c r="P63" s="174"/>
    </row>
    <row r="64" spans="1:17" x14ac:dyDescent="0.2">
      <c r="A64" s="154" t="s">
        <v>85</v>
      </c>
      <c r="B64" s="152"/>
      <c r="C64" s="195">
        <f>'FY2020 Operating Budget'!C64</f>
        <v>111179.16</v>
      </c>
      <c r="D64" s="159">
        <f>'FY2020 July Account'!$E$64</f>
        <v>5682.4800000000014</v>
      </c>
      <c r="E64" s="166">
        <f>'FY2020 August Account'!$E$64</f>
        <v>8157.4700000000012</v>
      </c>
      <c r="F64" s="159">
        <f>'FY2020 September Account'!$E$64</f>
        <v>8164.5400000000009</v>
      </c>
      <c r="G64" s="166">
        <f>'FY2020 October Account'!$E$64</f>
        <v>10303.66</v>
      </c>
      <c r="H64" s="166">
        <f>'FY2020 November Account'!$E$64</f>
        <v>10289.540000000001</v>
      </c>
      <c r="I64" s="166">
        <f>'FY2020 December Account'!$E$64</f>
        <v>10298.75</v>
      </c>
      <c r="J64" s="166">
        <f>'FY2020 January Account'!$E$64</f>
        <v>10298.67</v>
      </c>
      <c r="K64" s="166">
        <f>'FY2020 February Account'!$E$64</f>
        <v>10298.67</v>
      </c>
      <c r="L64" s="166">
        <f>'FY2020 March Account'!$E$64</f>
        <v>10298.67</v>
      </c>
      <c r="M64" s="166">
        <f>'FY2020 April Account'!$E$64</f>
        <v>0</v>
      </c>
      <c r="N64" s="153"/>
      <c r="O64" s="153"/>
      <c r="P64" s="179">
        <f t="shared" si="0"/>
        <v>83792.45</v>
      </c>
      <c r="Q64" s="159">
        <f t="shared" si="1"/>
        <v>27386.710000000006</v>
      </c>
    </row>
    <row r="65" spans="1:17" x14ac:dyDescent="0.2">
      <c r="A65" s="3"/>
      <c r="B65" s="3"/>
      <c r="C65" s="190"/>
      <c r="D65" s="114"/>
      <c r="F65" s="114"/>
      <c r="P65" s="174"/>
    </row>
    <row r="66" spans="1:17" x14ac:dyDescent="0.2">
      <c r="A66" s="134" t="s">
        <v>130</v>
      </c>
      <c r="B66" s="135"/>
      <c r="C66" s="196"/>
      <c r="D66" s="160"/>
      <c r="E66" s="116"/>
      <c r="F66" s="160"/>
      <c r="G66" s="116"/>
      <c r="H66" s="116"/>
      <c r="I66" s="116"/>
      <c r="J66" s="116"/>
      <c r="K66" s="116"/>
      <c r="L66" s="116"/>
      <c r="M66" s="116"/>
      <c r="N66" s="116"/>
      <c r="O66" s="116"/>
      <c r="P66" s="180"/>
      <c r="Q66" s="160"/>
    </row>
    <row r="67" spans="1:17" x14ac:dyDescent="0.2">
      <c r="A67" s="133"/>
      <c r="B67" s="3"/>
      <c r="C67" s="190"/>
      <c r="D67" s="114"/>
      <c r="F67" s="114"/>
      <c r="P67" s="174"/>
    </row>
    <row r="68" spans="1:17" x14ac:dyDescent="0.2">
      <c r="A68" s="127" t="s">
        <v>86</v>
      </c>
      <c r="B68" s="2"/>
      <c r="C68" s="191"/>
      <c r="D68" s="155"/>
      <c r="E68" s="113"/>
      <c r="F68" s="155"/>
      <c r="G68" s="113"/>
      <c r="H68" s="113"/>
      <c r="I68" s="113"/>
      <c r="J68" s="113"/>
      <c r="K68" s="113"/>
      <c r="L68" s="113"/>
      <c r="M68" s="113"/>
      <c r="N68" s="113"/>
      <c r="O68" s="113"/>
      <c r="P68" s="177"/>
      <c r="Q68" s="155"/>
    </row>
    <row r="69" spans="1:17" x14ac:dyDescent="0.2">
      <c r="A69" s="3"/>
      <c r="B69" s="3" t="s">
        <v>87</v>
      </c>
      <c r="C69" s="190">
        <f>'FY2020 Operating Budget'!C69</f>
        <v>174</v>
      </c>
      <c r="D69" s="114">
        <f>'FY2020 July Account'!$E$69</f>
        <v>0</v>
      </c>
      <c r="E69" s="114">
        <f>'FY2020 August Account'!$E$69</f>
        <v>0</v>
      </c>
      <c r="F69" s="114">
        <f>'FY2020 September Account'!$E$69</f>
        <v>0</v>
      </c>
      <c r="G69" s="114">
        <f>'FY2020 October Account'!$E$69</f>
        <v>0</v>
      </c>
      <c r="H69" s="114">
        <f>'FY2020 November Account'!$E$69</f>
        <v>0</v>
      </c>
      <c r="I69" s="114">
        <f>'FY2020 December Account'!$E$69</f>
        <v>0</v>
      </c>
      <c r="J69" s="114">
        <f>'FY2020 January Account'!$E$69</f>
        <v>0</v>
      </c>
      <c r="K69" s="114">
        <f>'FY2020 February Account'!$E$69</f>
        <v>0</v>
      </c>
      <c r="L69" s="114">
        <f>'FY2020 March Account'!$E$69</f>
        <v>0</v>
      </c>
      <c r="M69" s="114">
        <f>'FY2020 April Account'!$E$69</f>
        <v>0</v>
      </c>
      <c r="P69" s="174">
        <f t="shared" si="0"/>
        <v>0</v>
      </c>
      <c r="Q69" s="114">
        <f t="shared" si="1"/>
        <v>174</v>
      </c>
    </row>
    <row r="70" spans="1:17" x14ac:dyDescent="0.2">
      <c r="A70" s="3"/>
      <c r="B70" s="3" t="s">
        <v>88</v>
      </c>
      <c r="C70" s="190">
        <f>'FY2020 Operating Budget'!C70</f>
        <v>1000</v>
      </c>
      <c r="D70" s="114">
        <f>'FY2020 July Account'!$E$70</f>
        <v>0</v>
      </c>
      <c r="E70" s="114">
        <f>'FY2020 August Account'!$E$70</f>
        <v>7.58</v>
      </c>
      <c r="F70" s="114">
        <f>'FY2020 September Account'!$E$70</f>
        <v>57.099999999999994</v>
      </c>
      <c r="G70" s="114">
        <f>'FY2020 October Account'!$E$70</f>
        <v>32.56</v>
      </c>
      <c r="H70" s="114">
        <f>'FY2020 November Account'!$E$70</f>
        <v>0</v>
      </c>
      <c r="I70" s="114">
        <f>'FY2020 December Account'!$E$70</f>
        <v>61.75</v>
      </c>
      <c r="J70" s="114">
        <f>'FY2020 January Account'!$E$70</f>
        <v>243.54000000000002</v>
      </c>
      <c r="K70" s="114">
        <f>'FY2020 February Account'!$E$70</f>
        <v>0</v>
      </c>
      <c r="L70" s="114">
        <f>'FY2020 March Account'!$E$70</f>
        <v>0</v>
      </c>
      <c r="M70" s="114">
        <f>'FY2020 April Account'!$E$70</f>
        <v>0</v>
      </c>
      <c r="P70" s="174">
        <f t="shared" si="0"/>
        <v>402.53000000000003</v>
      </c>
      <c r="Q70" s="114">
        <f t="shared" si="1"/>
        <v>597.47</v>
      </c>
    </row>
    <row r="71" spans="1:17" x14ac:dyDescent="0.2">
      <c r="A71" s="128" t="s">
        <v>89</v>
      </c>
      <c r="B71" s="2"/>
      <c r="C71" s="191">
        <f>'FY2020 Operating Budget'!C71</f>
        <v>1174</v>
      </c>
      <c r="D71" s="155">
        <f>'FY2020 July Account'!$E$71</f>
        <v>0</v>
      </c>
      <c r="E71" s="155">
        <f>'FY2020 August Account'!$E$71</f>
        <v>7.58</v>
      </c>
      <c r="F71" s="155">
        <f>'FY2020 September Account'!$E$71</f>
        <v>57.099999999999994</v>
      </c>
      <c r="G71" s="155">
        <f>'FY2020 October Account'!$E$71</f>
        <v>32.56</v>
      </c>
      <c r="H71" s="155">
        <f>'FY2020 November Account'!$E$71</f>
        <v>0</v>
      </c>
      <c r="I71" s="155">
        <f>'FY2020 December Account'!$E$71</f>
        <v>61.75</v>
      </c>
      <c r="J71" s="155">
        <f>'FY2020 January Account'!$E$71</f>
        <v>243.54000000000002</v>
      </c>
      <c r="K71" s="155">
        <f>'FY2020 February Account'!$E$71</f>
        <v>0</v>
      </c>
      <c r="L71" s="155">
        <f>'FY2020 March Account'!$E$71</f>
        <v>0</v>
      </c>
      <c r="M71" s="155">
        <f>'FY2020 April Account'!$E$71</f>
        <v>0</v>
      </c>
      <c r="N71" s="113"/>
      <c r="O71" s="113"/>
      <c r="P71" s="177">
        <f t="shared" si="0"/>
        <v>402.53000000000003</v>
      </c>
      <c r="Q71" s="155">
        <f t="shared" si="1"/>
        <v>771.47</v>
      </c>
    </row>
    <row r="72" spans="1:17" x14ac:dyDescent="0.2">
      <c r="A72" s="3"/>
      <c r="B72" s="3"/>
      <c r="C72" s="190"/>
      <c r="D72" s="114"/>
      <c r="F72" s="114"/>
      <c r="P72" s="174"/>
    </row>
    <row r="73" spans="1:17" x14ac:dyDescent="0.2">
      <c r="A73" s="127" t="s">
        <v>90</v>
      </c>
      <c r="B73" s="2"/>
      <c r="C73" s="191"/>
      <c r="D73" s="155"/>
      <c r="E73" s="113"/>
      <c r="F73" s="155"/>
      <c r="G73" s="113"/>
      <c r="H73" s="113"/>
      <c r="I73" s="113"/>
      <c r="J73" s="113"/>
      <c r="K73" s="113"/>
      <c r="L73" s="113"/>
      <c r="M73" s="113"/>
      <c r="N73" s="113"/>
      <c r="O73" s="113"/>
      <c r="P73" s="177"/>
      <c r="Q73" s="155"/>
    </row>
    <row r="74" spans="1:17" x14ac:dyDescent="0.2">
      <c r="A74" s="3"/>
      <c r="B74" s="3" t="s">
        <v>91</v>
      </c>
      <c r="C74" s="190">
        <f>'FY2020 Operating Budget'!C74</f>
        <v>132</v>
      </c>
      <c r="D74" s="114">
        <f>'FY2020 July Account'!$E$74</f>
        <v>0</v>
      </c>
      <c r="E74" s="114">
        <f>'FY2020 August Account'!$E$74</f>
        <v>0</v>
      </c>
      <c r="F74" s="114">
        <f>'FY2020 September Account'!$E$74</f>
        <v>0</v>
      </c>
      <c r="G74" s="114">
        <f>'FY2020 October Account'!$E$74</f>
        <v>0</v>
      </c>
      <c r="H74" s="114">
        <f>'FY2020 November Account'!$E$74</f>
        <v>0</v>
      </c>
      <c r="I74" s="114">
        <f>'FY2020 December Account'!$E$74</f>
        <v>0</v>
      </c>
      <c r="J74" s="114">
        <f>'FY2020 January Account'!$E$74</f>
        <v>0</v>
      </c>
      <c r="K74" s="114">
        <f>'FY2020 February Account'!$E$74</f>
        <v>0</v>
      </c>
      <c r="L74" s="114">
        <f>'FY2020 March Account'!$E$74</f>
        <v>0</v>
      </c>
      <c r="M74" s="114">
        <f>'FY2020 April Account'!$E$74</f>
        <v>132</v>
      </c>
      <c r="P74" s="174">
        <f t="shared" si="0"/>
        <v>132</v>
      </c>
      <c r="Q74" s="114">
        <f t="shared" si="1"/>
        <v>0</v>
      </c>
    </row>
    <row r="75" spans="1:17" x14ac:dyDescent="0.2">
      <c r="A75" s="3"/>
      <c r="B75" s="3" t="s">
        <v>92</v>
      </c>
      <c r="C75" s="190">
        <f>'FY2020 Operating Budget'!C75</f>
        <v>1000</v>
      </c>
      <c r="D75" s="114">
        <f>'FY2020 July Account'!$E$75</f>
        <v>0</v>
      </c>
      <c r="E75" s="114">
        <f>'FY2020 August Account'!$E$75</f>
        <v>0</v>
      </c>
      <c r="F75" s="114">
        <f>'FY2020 September Account'!$E$75</f>
        <v>0</v>
      </c>
      <c r="G75" s="114">
        <f>'FY2020 October Account'!$E$75</f>
        <v>0</v>
      </c>
      <c r="H75" s="114">
        <f>'FY2020 November Account'!$E$75</f>
        <v>452.02</v>
      </c>
      <c r="I75" s="114">
        <f>'FY2020 December Account'!$E$75</f>
        <v>0</v>
      </c>
      <c r="J75" s="114">
        <f>'FY2020 January Account'!$E$75</f>
        <v>0</v>
      </c>
      <c r="K75" s="114">
        <f>'FY2020 February Account'!$E$75</f>
        <v>0</v>
      </c>
      <c r="L75" s="114">
        <f>'FY2020 March Account'!$E$75</f>
        <v>0</v>
      </c>
      <c r="M75" s="114">
        <f>'FY2020 April Account'!$E$75</f>
        <v>0</v>
      </c>
      <c r="P75" s="174">
        <f t="shared" si="0"/>
        <v>452.02</v>
      </c>
      <c r="Q75" s="114">
        <f t="shared" si="1"/>
        <v>547.98</v>
      </c>
    </row>
    <row r="76" spans="1:17" x14ac:dyDescent="0.2">
      <c r="A76" s="3"/>
      <c r="B76" s="3" t="s">
        <v>93</v>
      </c>
      <c r="C76" s="190">
        <f>'FY2020 Operating Budget'!C76</f>
        <v>500</v>
      </c>
      <c r="D76" s="114">
        <f>'FY2020 July Account'!$E$76</f>
        <v>0</v>
      </c>
      <c r="E76" s="114">
        <f>'FY2020 August Account'!$E$76</f>
        <v>0</v>
      </c>
      <c r="F76" s="114">
        <f>'FY2020 September Account'!$E$76</f>
        <v>0</v>
      </c>
      <c r="G76" s="114">
        <f>'FY2020 October Account'!$E$76</f>
        <v>0</v>
      </c>
      <c r="H76" s="114">
        <f>'FY2020 November Account'!$E$76</f>
        <v>0</v>
      </c>
      <c r="I76" s="114">
        <f>'FY2020 December Account'!$E$76</f>
        <v>0</v>
      </c>
      <c r="J76" s="114">
        <f>'FY2020 January Account'!$E$76</f>
        <v>0</v>
      </c>
      <c r="K76" s="114">
        <f>'FY2020 February Account'!$E$76</f>
        <v>0</v>
      </c>
      <c r="L76" s="114">
        <f>'FY2020 March Account'!$E$76</f>
        <v>0</v>
      </c>
      <c r="M76" s="114">
        <f>'FY2020 April Account'!$E$76</f>
        <v>0</v>
      </c>
      <c r="P76" s="174">
        <f t="shared" ref="P76:P126" si="2">SUM(D76:O76)</f>
        <v>0</v>
      </c>
      <c r="Q76" s="114">
        <f t="shared" ref="Q76:Q126" si="3">C76-P76</f>
        <v>500</v>
      </c>
    </row>
    <row r="77" spans="1:17" x14ac:dyDescent="0.2">
      <c r="A77" s="128" t="s">
        <v>94</v>
      </c>
      <c r="B77" s="2"/>
      <c r="C77" s="191">
        <f>'FY2020 Operating Budget'!C77</f>
        <v>1632</v>
      </c>
      <c r="D77" s="155">
        <f>'FY2020 July Account'!$E$77</f>
        <v>0</v>
      </c>
      <c r="E77" s="155">
        <f>'FY2020 August Account'!$E$77</f>
        <v>0</v>
      </c>
      <c r="F77" s="155">
        <f>'FY2020 September Account'!$E$77</f>
        <v>0</v>
      </c>
      <c r="G77" s="155">
        <f>'FY2020 October Account'!$E$77</f>
        <v>0</v>
      </c>
      <c r="H77" s="155">
        <f>'FY2020 November Account'!$E$77</f>
        <v>452.02</v>
      </c>
      <c r="I77" s="155">
        <f>'FY2020 December Account'!$E$77</f>
        <v>0</v>
      </c>
      <c r="J77" s="155">
        <f>'FY2020 January Account'!$E$77</f>
        <v>0</v>
      </c>
      <c r="K77" s="155">
        <f>'FY2020 February Account'!$E$77</f>
        <v>0</v>
      </c>
      <c r="L77" s="155">
        <f>'FY2020 March Account'!$E$77</f>
        <v>0</v>
      </c>
      <c r="M77" s="155">
        <f>'FY2020 April Account'!$E$77</f>
        <v>132</v>
      </c>
      <c r="N77" s="113"/>
      <c r="O77" s="113"/>
      <c r="P77" s="177">
        <f t="shared" si="2"/>
        <v>584.02</v>
      </c>
      <c r="Q77" s="155">
        <f t="shared" si="3"/>
        <v>1047.98</v>
      </c>
    </row>
    <row r="78" spans="1:17" x14ac:dyDescent="0.2">
      <c r="A78" s="3"/>
      <c r="B78" s="3"/>
      <c r="C78" s="190"/>
      <c r="D78" s="114"/>
      <c r="F78" s="114"/>
      <c r="P78" s="174"/>
    </row>
    <row r="79" spans="1:17" x14ac:dyDescent="0.2">
      <c r="A79" s="136" t="s">
        <v>95</v>
      </c>
      <c r="B79" s="135"/>
      <c r="C79" s="196">
        <f>'FY2020 Operating Budget'!C79</f>
        <v>2806</v>
      </c>
      <c r="D79" s="160">
        <f>'FY2020 July Account'!$E$79</f>
        <v>0</v>
      </c>
      <c r="E79" s="167">
        <f>'FY2020 August Account'!$E$79</f>
        <v>7.58</v>
      </c>
      <c r="F79" s="160">
        <f>'FY2020 September Account'!$E$79</f>
        <v>57.099999999999994</v>
      </c>
      <c r="G79" s="167">
        <f>'FY2020 October Account'!$E$79</f>
        <v>32.56</v>
      </c>
      <c r="H79" s="167">
        <f>'FY2020 November Account'!$E$79</f>
        <v>452.02</v>
      </c>
      <c r="I79" s="167">
        <f>'FY2020 December Account'!$E$79</f>
        <v>61.75</v>
      </c>
      <c r="J79" s="167">
        <f>'FY2020 January Account'!$E$79</f>
        <v>243.54000000000002</v>
      </c>
      <c r="K79" s="167">
        <f>'FY2020 February Account'!$E$79</f>
        <v>0</v>
      </c>
      <c r="L79" s="167">
        <f>'FY2020 March Account'!$E$79</f>
        <v>0</v>
      </c>
      <c r="M79" s="167">
        <f>'FY2020 April Account'!$E$79</f>
        <v>132</v>
      </c>
      <c r="N79" s="116"/>
      <c r="O79" s="116"/>
      <c r="P79" s="180">
        <f t="shared" si="2"/>
        <v>986.55</v>
      </c>
      <c r="Q79" s="160">
        <f t="shared" si="3"/>
        <v>1819.45</v>
      </c>
    </row>
    <row r="80" spans="1:17" x14ac:dyDescent="0.2">
      <c r="A80" s="3"/>
      <c r="B80" s="3"/>
      <c r="C80" s="190"/>
      <c r="D80" s="114"/>
      <c r="F80" s="114"/>
      <c r="P80" s="174"/>
    </row>
    <row r="81" spans="1:17" x14ac:dyDescent="0.2">
      <c r="A81" s="137" t="s">
        <v>96</v>
      </c>
      <c r="B81" s="138"/>
      <c r="C81" s="197"/>
      <c r="D81" s="161"/>
      <c r="E81" s="118"/>
      <c r="F81" s="161"/>
      <c r="G81" s="118"/>
      <c r="H81" s="118"/>
      <c r="I81" s="118"/>
      <c r="J81" s="118"/>
      <c r="K81" s="118"/>
      <c r="L81" s="118"/>
      <c r="M81" s="118"/>
      <c r="N81" s="118"/>
      <c r="O81" s="118"/>
      <c r="P81" s="181"/>
      <c r="Q81" s="161"/>
    </row>
    <row r="82" spans="1:17" x14ac:dyDescent="0.2">
      <c r="A82" s="133"/>
      <c r="B82" s="3"/>
      <c r="C82" s="190"/>
      <c r="D82" s="114"/>
      <c r="F82" s="114"/>
      <c r="P82" s="174"/>
    </row>
    <row r="83" spans="1:17" x14ac:dyDescent="0.2">
      <c r="A83" s="127" t="s">
        <v>97</v>
      </c>
      <c r="B83" s="2"/>
      <c r="C83" s="191"/>
      <c r="D83" s="155"/>
      <c r="E83" s="113"/>
      <c r="F83" s="155"/>
      <c r="G83" s="113"/>
      <c r="H83" s="113"/>
      <c r="I83" s="113"/>
      <c r="J83" s="113"/>
      <c r="K83" s="113"/>
      <c r="L83" s="113"/>
      <c r="M83" s="113"/>
      <c r="N83" s="113"/>
      <c r="O83" s="113"/>
      <c r="P83" s="177"/>
      <c r="Q83" s="155"/>
    </row>
    <row r="84" spans="1:17" x14ac:dyDescent="0.2">
      <c r="A84" s="3"/>
      <c r="B84" s="3" t="s">
        <v>98</v>
      </c>
      <c r="C84" s="190">
        <f>'FY2020 Operating Budget'!C84</f>
        <v>35000</v>
      </c>
      <c r="D84" s="114">
        <f>'FY2020 July Account'!$E$84</f>
        <v>0</v>
      </c>
      <c r="E84" s="114">
        <f>'FY2020 August Account'!$E$84</f>
        <v>0</v>
      </c>
      <c r="F84" s="114">
        <f>'FY2020 September Account'!$E$84</f>
        <v>2229.08</v>
      </c>
      <c r="G84" s="114">
        <f>'FY2020 October Account'!$E$84</f>
        <v>4850.5600000000004</v>
      </c>
      <c r="H84" s="114">
        <f>'FY2020 November Account'!$E$84</f>
        <v>7363.3</v>
      </c>
      <c r="I84" s="114">
        <f>'FY2020 December Account'!$E$84</f>
        <v>445.20000000000005</v>
      </c>
      <c r="J84" s="114">
        <f>'FY2020 January Account'!$E$84</f>
        <v>0</v>
      </c>
      <c r="K84" s="114">
        <f>'FY2020 February Account'!$E$84</f>
        <v>2568.06</v>
      </c>
      <c r="L84" s="114">
        <f>'FY2020 March Account'!$E$84</f>
        <v>17543.8</v>
      </c>
      <c r="M84" s="114">
        <f>'FY2020 April Account'!$E$84</f>
        <v>0</v>
      </c>
      <c r="P84" s="174">
        <f t="shared" si="2"/>
        <v>35000</v>
      </c>
      <c r="Q84" s="114">
        <f t="shared" si="3"/>
        <v>0</v>
      </c>
    </row>
    <row r="85" spans="1:17" x14ac:dyDescent="0.2">
      <c r="A85" s="3"/>
      <c r="B85" s="3" t="s">
        <v>99</v>
      </c>
      <c r="C85" s="190">
        <f>'FY2020 Operating Budget'!C85</f>
        <v>17500</v>
      </c>
      <c r="D85" s="114">
        <f>'FY2020 July Account'!$E$85</f>
        <v>0</v>
      </c>
      <c r="E85" s="114">
        <f>'FY2020 August Account'!$E$85</f>
        <v>29</v>
      </c>
      <c r="F85" s="114">
        <f>'FY2020 September Account'!$E$85</f>
        <v>1338.08</v>
      </c>
      <c r="G85" s="114">
        <f>'FY2020 October Account'!$E$85</f>
        <v>1868.3000000000002</v>
      </c>
      <c r="H85" s="114">
        <f>'FY2020 November Account'!$E$85</f>
        <v>2712.6999999999994</v>
      </c>
      <c r="I85" s="114">
        <f>'FY2020 December Account'!$E$85</f>
        <v>959.31999999999994</v>
      </c>
      <c r="J85" s="114">
        <f>'FY2020 January Account'!$E$85</f>
        <v>1520.28</v>
      </c>
      <c r="K85" s="114">
        <f>'FY2020 February Account'!$E$85</f>
        <v>1666.5600000000004</v>
      </c>
      <c r="L85" s="114">
        <f>'FY2020 March Account'!$E$85</f>
        <v>7405.76</v>
      </c>
      <c r="M85" s="114">
        <f>'FY2020 April Account'!$E$85</f>
        <v>0</v>
      </c>
      <c r="P85" s="174">
        <f t="shared" si="2"/>
        <v>17500</v>
      </c>
      <c r="Q85" s="114">
        <f t="shared" si="3"/>
        <v>0</v>
      </c>
    </row>
    <row r="86" spans="1:17" x14ac:dyDescent="0.2">
      <c r="A86" s="3"/>
      <c r="B86" s="3" t="s">
        <v>100</v>
      </c>
      <c r="C86" s="190">
        <f>'FY2020 Operating Budget'!C86</f>
        <v>7000</v>
      </c>
      <c r="D86" s="114">
        <f>'FY2020 July Account'!$E$86</f>
        <v>0</v>
      </c>
      <c r="E86" s="114">
        <f>'FY2020 August Account'!$E$86</f>
        <v>0</v>
      </c>
      <c r="F86" s="114">
        <f>'FY2020 September Account'!$E$86</f>
        <v>426.26</v>
      </c>
      <c r="G86" s="114">
        <f>'FY2020 October Account'!$E$86</f>
        <v>0</v>
      </c>
      <c r="H86" s="114">
        <f>'FY2020 November Account'!$E$86</f>
        <v>224.26</v>
      </c>
      <c r="I86" s="114">
        <f>'FY2020 December Account'!$E$86</f>
        <v>206.5</v>
      </c>
      <c r="J86" s="114">
        <f>'FY2020 January Account'!$E$86</f>
        <v>16.190000000000001</v>
      </c>
      <c r="K86" s="114">
        <f>'FY2020 February Account'!$E$86</f>
        <v>1854</v>
      </c>
      <c r="L86" s="114">
        <f>'FY2020 March Account'!$E$86</f>
        <v>4272.79</v>
      </c>
      <c r="M86" s="114">
        <f>'FY2020 April Account'!$E$86</f>
        <v>0</v>
      </c>
      <c r="P86" s="174">
        <f t="shared" si="2"/>
        <v>7000</v>
      </c>
      <c r="Q86" s="114">
        <f t="shared" si="3"/>
        <v>0</v>
      </c>
    </row>
    <row r="87" spans="1:17" x14ac:dyDescent="0.2">
      <c r="A87" s="128" t="s">
        <v>101</v>
      </c>
      <c r="B87" s="2"/>
      <c r="C87" s="191">
        <f>'FY2020 Operating Budget'!C87</f>
        <v>59500</v>
      </c>
      <c r="D87" s="155">
        <f>'FY2020 July Account'!$E$87</f>
        <v>0</v>
      </c>
      <c r="E87" s="155">
        <f>'FY2020 August Account'!$E$87</f>
        <v>29</v>
      </c>
      <c r="F87" s="155">
        <f>'FY2020 September Account'!$E$87</f>
        <v>3993.42</v>
      </c>
      <c r="G87" s="155">
        <f>'FY2020 October Account'!$E$87</f>
        <v>6718.8600000000006</v>
      </c>
      <c r="H87" s="155">
        <f>'FY2020 November Account'!$E$87</f>
        <v>10300.26</v>
      </c>
      <c r="I87" s="155">
        <f>'FY2020 December Account'!$E$87</f>
        <v>1611.02</v>
      </c>
      <c r="J87" s="155">
        <f>'FY2020 January Account'!$E$87</f>
        <v>1536.47</v>
      </c>
      <c r="K87" s="155">
        <f>'FY2020 February Account'!$E$87</f>
        <v>6088.6200000000008</v>
      </c>
      <c r="L87" s="155">
        <f>'FY2020 March Account'!$E$87</f>
        <v>29222.35</v>
      </c>
      <c r="M87" s="155">
        <f>'FY2020 April Account'!$E$87</f>
        <v>0</v>
      </c>
      <c r="N87" s="113"/>
      <c r="O87" s="113"/>
      <c r="P87" s="177">
        <f t="shared" si="2"/>
        <v>59500</v>
      </c>
      <c r="Q87" s="155">
        <f t="shared" si="3"/>
        <v>0</v>
      </c>
    </row>
    <row r="88" spans="1:17" x14ac:dyDescent="0.2">
      <c r="A88" s="3"/>
      <c r="B88" s="3"/>
      <c r="C88" s="190"/>
      <c r="D88" s="114"/>
      <c r="F88" s="114"/>
      <c r="P88" s="174"/>
    </row>
    <row r="89" spans="1:17" x14ac:dyDescent="0.2">
      <c r="A89" s="127" t="s">
        <v>102</v>
      </c>
      <c r="B89" s="2"/>
      <c r="C89" s="191"/>
      <c r="D89" s="155"/>
      <c r="E89" s="113"/>
      <c r="F89" s="155"/>
      <c r="G89" s="113"/>
      <c r="H89" s="113"/>
      <c r="I89" s="113"/>
      <c r="J89" s="113"/>
      <c r="K89" s="113"/>
      <c r="L89" s="113"/>
      <c r="M89" s="113"/>
      <c r="N89" s="113"/>
      <c r="O89" s="113"/>
      <c r="P89" s="177"/>
      <c r="Q89" s="155"/>
    </row>
    <row r="90" spans="1:17" x14ac:dyDescent="0.2">
      <c r="A90" s="3"/>
      <c r="B90" s="3" t="s">
        <v>103</v>
      </c>
      <c r="C90" s="190">
        <f>'FY2020 Operating Budget'!C90</f>
        <v>4000</v>
      </c>
      <c r="D90" s="114">
        <f>'FY2020 July Account'!$E$90</f>
        <v>809.18</v>
      </c>
      <c r="E90" s="114">
        <f>'FY2020 August Account'!$E$90</f>
        <v>0</v>
      </c>
      <c r="F90" s="114">
        <f>'FY2020 September Account'!$E$90</f>
        <v>0</v>
      </c>
      <c r="G90" s="114">
        <f>'FY2020 October Account'!$E$90</f>
        <v>0</v>
      </c>
      <c r="H90" s="114">
        <f>'FY2020 November Account'!$E$90</f>
        <v>0</v>
      </c>
      <c r="I90" s="114">
        <f>'FY2020 December Account'!$E$90</f>
        <v>0</v>
      </c>
      <c r="J90" s="114">
        <f>'FY2020 January Account'!$E$90</f>
        <v>0</v>
      </c>
      <c r="K90" s="114">
        <f>'FY2020 February Account'!$E$90</f>
        <v>0</v>
      </c>
      <c r="L90" s="114">
        <f>'FY2020 March Account'!$E$90</f>
        <v>3190.82</v>
      </c>
      <c r="M90" s="114">
        <f>'FY2020 April Account'!$E$90</f>
        <v>0</v>
      </c>
      <c r="P90" s="174">
        <f t="shared" si="2"/>
        <v>4000</v>
      </c>
      <c r="Q90" s="114">
        <f t="shared" si="3"/>
        <v>0</v>
      </c>
    </row>
    <row r="91" spans="1:17" x14ac:dyDescent="0.2">
      <c r="A91" s="3"/>
      <c r="B91" s="3" t="s">
        <v>104</v>
      </c>
      <c r="C91" s="190">
        <f>'FY2020 Operating Budget'!C91</f>
        <v>1000</v>
      </c>
      <c r="D91" s="114">
        <f>'FY2020 July Account'!$E$91</f>
        <v>0</v>
      </c>
      <c r="E91" s="114">
        <f>'FY2020 August Account'!$E$91</f>
        <v>0</v>
      </c>
      <c r="F91" s="114">
        <f>'FY2020 September Account'!$E$91</f>
        <v>0</v>
      </c>
      <c r="G91" s="114">
        <f>'FY2020 October Account'!$E$91</f>
        <v>0</v>
      </c>
      <c r="H91" s="114">
        <f>'FY2020 November Account'!$E$91</f>
        <v>0</v>
      </c>
      <c r="I91" s="114">
        <f>'FY2020 December Account'!$E$91</f>
        <v>0</v>
      </c>
      <c r="J91" s="114">
        <f>'FY2020 January Account'!$E$91</f>
        <v>0</v>
      </c>
      <c r="K91" s="114">
        <f>'FY2020 February Account'!$E$91</f>
        <v>0</v>
      </c>
      <c r="L91" s="114">
        <f>'FY2020 March Account'!$E$91</f>
        <v>1000</v>
      </c>
      <c r="M91" s="114">
        <f>'FY2020 April Account'!$E$91</f>
        <v>0</v>
      </c>
      <c r="P91" s="174">
        <f t="shared" si="2"/>
        <v>1000</v>
      </c>
      <c r="Q91" s="114">
        <f t="shared" si="3"/>
        <v>0</v>
      </c>
    </row>
    <row r="92" spans="1:17" x14ac:dyDescent="0.2">
      <c r="A92" s="3"/>
      <c r="B92" s="3" t="s">
        <v>1993</v>
      </c>
      <c r="C92" s="190">
        <f>'FY2020 Operating Budget'!C92</f>
        <v>3000</v>
      </c>
      <c r="D92" s="114">
        <f>'FY2020 July Account'!$E$92</f>
        <v>0</v>
      </c>
      <c r="E92" s="114">
        <f>'FY2020 August Account'!$E$92</f>
        <v>0</v>
      </c>
      <c r="F92" s="114">
        <f>'FY2020 September Account'!$E$92</f>
        <v>0</v>
      </c>
      <c r="G92" s="114">
        <f>'FY2020 October Account'!$E$92</f>
        <v>0</v>
      </c>
      <c r="H92" s="114">
        <f>'FY2020 November Account'!$E$92</f>
        <v>0</v>
      </c>
      <c r="I92" s="114">
        <f>'FY2020 December Account'!$E$92</f>
        <v>0</v>
      </c>
      <c r="J92" s="114">
        <f>'FY2020 January Account'!$E$92</f>
        <v>0</v>
      </c>
      <c r="K92" s="114">
        <f>'FY2020 February Account'!$E$92</f>
        <v>0</v>
      </c>
      <c r="L92" s="114">
        <f>'FY2020 March Account'!$E$92</f>
        <v>3000</v>
      </c>
      <c r="M92" s="114">
        <f>'FY2020 April Account'!$E$92</f>
        <v>0</v>
      </c>
      <c r="P92" s="174">
        <f t="shared" si="2"/>
        <v>3000</v>
      </c>
      <c r="Q92" s="114">
        <f t="shared" si="3"/>
        <v>0</v>
      </c>
    </row>
    <row r="93" spans="1:17" x14ac:dyDescent="0.2">
      <c r="A93" s="128" t="s">
        <v>105</v>
      </c>
      <c r="B93" s="2"/>
      <c r="C93" s="191">
        <f>'FY2020 Operating Budget'!C93</f>
        <v>8000</v>
      </c>
      <c r="D93" s="155">
        <f>'FY2020 July Account'!$E$93</f>
        <v>809.18</v>
      </c>
      <c r="E93" s="155">
        <f>'FY2020 August Account'!$E$93</f>
        <v>0</v>
      </c>
      <c r="F93" s="155">
        <f>'FY2020 September Account'!$E$93</f>
        <v>0</v>
      </c>
      <c r="G93" s="155">
        <f>'FY2020 October Account'!$E$93</f>
        <v>0</v>
      </c>
      <c r="H93" s="155">
        <f>'FY2020 November Account'!$E$93</f>
        <v>0</v>
      </c>
      <c r="I93" s="155">
        <f>'FY2020 December Account'!$E$93</f>
        <v>0</v>
      </c>
      <c r="J93" s="155">
        <f>'FY2020 January Account'!$E$93</f>
        <v>0</v>
      </c>
      <c r="K93" s="155">
        <f>'FY2020 February Account'!$E$93</f>
        <v>0</v>
      </c>
      <c r="L93" s="155">
        <f>'FY2020 March Account'!$E$93</f>
        <v>7190.82</v>
      </c>
      <c r="M93" s="155">
        <f>'FY2020 April Account'!$E$93</f>
        <v>0</v>
      </c>
      <c r="N93" s="113"/>
      <c r="O93" s="113"/>
      <c r="P93" s="177">
        <f t="shared" si="2"/>
        <v>8000</v>
      </c>
      <c r="Q93" s="155">
        <f t="shared" si="3"/>
        <v>0</v>
      </c>
    </row>
    <row r="94" spans="1:17" x14ac:dyDescent="0.2">
      <c r="A94" s="3"/>
      <c r="B94" s="3"/>
      <c r="C94" s="190"/>
      <c r="D94" s="114"/>
      <c r="F94" s="114"/>
      <c r="P94" s="174"/>
    </row>
    <row r="95" spans="1:17" x14ac:dyDescent="0.2">
      <c r="A95" s="139" t="s">
        <v>106</v>
      </c>
      <c r="B95" s="138"/>
      <c r="C95" s="197">
        <f>'FY2020 Operating Budget'!C95</f>
        <v>67500</v>
      </c>
      <c r="D95" s="161">
        <f>'FY2020 July Account'!$E$95</f>
        <v>809.18</v>
      </c>
      <c r="E95" s="168">
        <f>'FY2020 August Account'!$E$95</f>
        <v>29</v>
      </c>
      <c r="F95" s="161">
        <f>'FY2020 September Account'!$E$95</f>
        <v>3993.42</v>
      </c>
      <c r="G95" s="168">
        <f>'FY2020 October Account'!$E$95</f>
        <v>6718.8600000000006</v>
      </c>
      <c r="H95" s="168">
        <f>'FY2020 November Account'!$E$95</f>
        <v>10300.26</v>
      </c>
      <c r="I95" s="168">
        <f>'FY2020 December Account'!$E$95</f>
        <v>1611.02</v>
      </c>
      <c r="J95" s="168">
        <f>'FY2020 January Account'!$E$95</f>
        <v>1536.47</v>
      </c>
      <c r="K95" s="168">
        <f>'FY2020 February Account'!$E$95</f>
        <v>6088.6200000000008</v>
      </c>
      <c r="L95" s="168">
        <f>'FY2020 March Account'!$E$95</f>
        <v>36413.17</v>
      </c>
      <c r="M95" s="168">
        <f>'FY2020 April Account'!$E$95</f>
        <v>0</v>
      </c>
      <c r="N95" s="118"/>
      <c r="O95" s="118"/>
      <c r="P95" s="181">
        <f t="shared" si="2"/>
        <v>67500</v>
      </c>
      <c r="Q95" s="161">
        <f t="shared" si="3"/>
        <v>0</v>
      </c>
    </row>
    <row r="96" spans="1:17" x14ac:dyDescent="0.2">
      <c r="A96" s="3"/>
      <c r="B96" s="3"/>
      <c r="C96" s="190"/>
      <c r="D96" s="114"/>
      <c r="F96" s="114"/>
      <c r="P96" s="174"/>
    </row>
    <row r="97" spans="1:17" x14ac:dyDescent="0.2">
      <c r="A97" s="140" t="s">
        <v>107</v>
      </c>
      <c r="B97" s="141"/>
      <c r="C97" s="198"/>
      <c r="D97" s="162"/>
      <c r="E97" s="120"/>
      <c r="F97" s="162"/>
      <c r="G97" s="120"/>
      <c r="H97" s="120"/>
      <c r="I97" s="120"/>
      <c r="J97" s="120"/>
      <c r="K97" s="120"/>
      <c r="L97" s="120"/>
      <c r="M97" s="120"/>
      <c r="N97" s="120"/>
      <c r="O97" s="120"/>
      <c r="P97" s="182"/>
      <c r="Q97" s="162"/>
    </row>
    <row r="98" spans="1:17" x14ac:dyDescent="0.2">
      <c r="A98" s="133"/>
      <c r="B98" s="3"/>
      <c r="C98" s="190"/>
      <c r="D98" s="114"/>
      <c r="F98" s="114"/>
      <c r="P98" s="174"/>
    </row>
    <row r="99" spans="1:17" x14ac:dyDescent="0.2">
      <c r="A99" s="127" t="s">
        <v>108</v>
      </c>
      <c r="B99" s="2"/>
      <c r="C99" s="191"/>
      <c r="D99" s="155"/>
      <c r="E99" s="113"/>
      <c r="F99" s="155"/>
      <c r="G99" s="113"/>
      <c r="H99" s="113"/>
      <c r="I99" s="113"/>
      <c r="J99" s="113"/>
      <c r="K99" s="113"/>
      <c r="L99" s="113"/>
      <c r="M99" s="113"/>
      <c r="N99" s="113"/>
      <c r="O99" s="113"/>
      <c r="P99" s="177"/>
      <c r="Q99" s="155"/>
    </row>
    <row r="100" spans="1:17" x14ac:dyDescent="0.2">
      <c r="A100" s="3"/>
      <c r="B100" s="3" t="s">
        <v>109</v>
      </c>
      <c r="C100" s="190">
        <f>'FY2020 Operating Budget'!C100</f>
        <v>3250</v>
      </c>
      <c r="D100" s="114">
        <f>'FY2020 July Account'!$E$100</f>
        <v>0</v>
      </c>
      <c r="E100" s="114">
        <f>'FY2020 August Account'!$E$100</f>
        <v>0</v>
      </c>
      <c r="F100" s="114">
        <f>'FY2020 September Account'!$E$100</f>
        <v>0</v>
      </c>
      <c r="G100" s="114">
        <f>'FY2020 October Account'!$E$100</f>
        <v>0</v>
      </c>
      <c r="H100" s="114">
        <f>'FY2020 November Account'!$E$100</f>
        <v>0</v>
      </c>
      <c r="I100" s="114">
        <f>'FY2020 December Account'!$E$100</f>
        <v>0</v>
      </c>
      <c r="J100" s="114">
        <f>'FY2020 January Account'!$E$100</f>
        <v>0</v>
      </c>
      <c r="K100" s="114">
        <f>'FY2020 February Account'!$E$100</f>
        <v>825</v>
      </c>
      <c r="L100" s="114">
        <f>'FY2020 March Account'!$E$100</f>
        <v>2425</v>
      </c>
      <c r="M100" s="114">
        <f>'FY2020 April Account'!$E$100</f>
        <v>0</v>
      </c>
      <c r="P100" s="174">
        <f t="shared" si="2"/>
        <v>3250</v>
      </c>
      <c r="Q100" s="114">
        <f t="shared" si="3"/>
        <v>0</v>
      </c>
    </row>
    <row r="101" spans="1:17" x14ac:dyDescent="0.2">
      <c r="A101" s="128" t="s">
        <v>110</v>
      </c>
      <c r="B101" s="2"/>
      <c r="C101" s="191">
        <f>'FY2020 Operating Budget'!C101</f>
        <v>3250</v>
      </c>
      <c r="D101" s="155">
        <f>'FY2020 July Account'!$E$101</f>
        <v>0</v>
      </c>
      <c r="E101" s="155">
        <f>'FY2020 August Account'!$E$101</f>
        <v>0</v>
      </c>
      <c r="F101" s="155">
        <f>'FY2020 September Account'!$E$101</f>
        <v>0</v>
      </c>
      <c r="G101" s="155">
        <f>'FY2020 October Account'!$E$101</f>
        <v>0</v>
      </c>
      <c r="H101" s="155">
        <f>'FY2020 November Account'!$E$101</f>
        <v>0</v>
      </c>
      <c r="I101" s="155">
        <f>'FY2020 December Account'!$E$101</f>
        <v>0</v>
      </c>
      <c r="J101" s="155">
        <f>'FY2020 January Account'!$E$101</f>
        <v>0</v>
      </c>
      <c r="K101" s="155">
        <f>'FY2020 February Account'!$E$101</f>
        <v>825</v>
      </c>
      <c r="L101" s="155">
        <f>'FY2020 March Account'!$E$101</f>
        <v>2425</v>
      </c>
      <c r="M101" s="155">
        <f>'FY2020 April Account'!$E$101</f>
        <v>0</v>
      </c>
      <c r="N101" s="113"/>
      <c r="O101" s="113"/>
      <c r="P101" s="177">
        <f t="shared" si="2"/>
        <v>3250</v>
      </c>
      <c r="Q101" s="155">
        <f t="shared" si="3"/>
        <v>0</v>
      </c>
    </row>
    <row r="102" spans="1:17" x14ac:dyDescent="0.2">
      <c r="A102" s="3"/>
      <c r="B102" s="3"/>
      <c r="C102" s="190"/>
      <c r="D102" s="114"/>
      <c r="F102" s="114"/>
      <c r="P102" s="174"/>
    </row>
    <row r="103" spans="1:17" x14ac:dyDescent="0.2">
      <c r="A103" s="127" t="s">
        <v>111</v>
      </c>
      <c r="B103" s="2"/>
      <c r="C103" s="191"/>
      <c r="D103" s="155"/>
      <c r="E103" s="113"/>
      <c r="F103" s="155"/>
      <c r="G103" s="113"/>
      <c r="H103" s="113"/>
      <c r="I103" s="113"/>
      <c r="J103" s="113"/>
      <c r="K103" s="113"/>
      <c r="L103" s="113"/>
      <c r="M103" s="113"/>
      <c r="N103" s="113"/>
      <c r="O103" s="113"/>
      <c r="P103" s="177"/>
      <c r="Q103" s="155"/>
    </row>
    <row r="104" spans="1:17" x14ac:dyDescent="0.2">
      <c r="A104" s="3"/>
      <c r="B104" s="3" t="s">
        <v>112</v>
      </c>
      <c r="C104" s="190">
        <f>'FY2020 Operating Budget'!C104</f>
        <v>17000</v>
      </c>
      <c r="D104" s="114">
        <f>'FY2020 July Account'!$E$104</f>
        <v>0</v>
      </c>
      <c r="E104" s="114">
        <f>'FY2020 August Account'!$E$104</f>
        <v>0</v>
      </c>
      <c r="F104" s="114">
        <f>'FY2020 September Account'!$E$104</f>
        <v>0</v>
      </c>
      <c r="G104" s="114">
        <f>'FY2020 October Account'!$E$104</f>
        <v>0</v>
      </c>
      <c r="H104" s="114">
        <f>'FY2020 November Account'!$E$104</f>
        <v>250</v>
      </c>
      <c r="I104" s="114">
        <f>'FY2020 December Account'!$E$104</f>
        <v>202.47</v>
      </c>
      <c r="J104" s="114">
        <f>'FY2020 January Account'!$E$104</f>
        <v>1007.64</v>
      </c>
      <c r="K104" s="114">
        <f>'FY2020 February Account'!$E$104</f>
        <v>1166.4100000000001</v>
      </c>
      <c r="L104" s="114">
        <f>'FY2020 March Account'!$E$104</f>
        <v>14373.48</v>
      </c>
      <c r="M104" s="114">
        <f>'FY2020 April Account'!$E$104</f>
        <v>0</v>
      </c>
      <c r="P104" s="174">
        <f t="shared" si="2"/>
        <v>17000</v>
      </c>
      <c r="Q104" s="114">
        <f t="shared" si="3"/>
        <v>0</v>
      </c>
    </row>
    <row r="105" spans="1:17" x14ac:dyDescent="0.2">
      <c r="A105" s="3"/>
      <c r="B105" s="3" t="s">
        <v>1992</v>
      </c>
      <c r="C105" s="190">
        <f>'FY2020 Operating Budget'!C105</f>
        <v>20000</v>
      </c>
      <c r="D105" s="114">
        <f>'FY2020 July Account'!$E$105</f>
        <v>0</v>
      </c>
      <c r="E105" s="114">
        <f>'FY2020 August Account'!$E$105</f>
        <v>0</v>
      </c>
      <c r="F105" s="114">
        <f>'FY2020 September Account'!$E$105</f>
        <v>0</v>
      </c>
      <c r="G105" s="114">
        <f>'FY2020 October Account'!$E$105</f>
        <v>0</v>
      </c>
      <c r="H105" s="114">
        <f>'FY2020 November Account'!$E$105</f>
        <v>0</v>
      </c>
      <c r="I105" s="114">
        <f>'FY2020 December Account'!$E$105</f>
        <v>0</v>
      </c>
      <c r="J105" s="114">
        <f>'FY2020 January Account'!$E$105</f>
        <v>0</v>
      </c>
      <c r="K105" s="114">
        <f>'FY2020 February Account'!$E$105</f>
        <v>0</v>
      </c>
      <c r="L105" s="114">
        <f>'FY2020 March Account'!$E$105</f>
        <v>20000</v>
      </c>
      <c r="M105" s="114">
        <f>'FY2020 April Account'!$E$105</f>
        <v>0</v>
      </c>
      <c r="P105" s="174">
        <f t="shared" si="2"/>
        <v>20000</v>
      </c>
      <c r="Q105" s="114">
        <f t="shared" si="3"/>
        <v>0</v>
      </c>
    </row>
    <row r="106" spans="1:17" x14ac:dyDescent="0.2">
      <c r="A106" s="128" t="s">
        <v>113</v>
      </c>
      <c r="B106" s="2"/>
      <c r="C106" s="191">
        <f>'FY2020 Operating Budget'!C106</f>
        <v>37000</v>
      </c>
      <c r="D106" s="155"/>
      <c r="E106" s="155">
        <f>'FY2020 August Account'!$E$106</f>
        <v>0</v>
      </c>
      <c r="F106" s="155"/>
      <c r="G106" s="155">
        <f>'FY2020 October Account'!$E$106</f>
        <v>0</v>
      </c>
      <c r="H106" s="155">
        <f>'FY2020 November Account'!$E$106</f>
        <v>250</v>
      </c>
      <c r="I106" s="155">
        <f>'FY2020 December Account'!$E$106</f>
        <v>202.47</v>
      </c>
      <c r="J106" s="155">
        <f>'FY2020 January Account'!$E$106</f>
        <v>1007.64</v>
      </c>
      <c r="K106" s="155">
        <f>'FY2020 February Account'!$E$106</f>
        <v>1166.4100000000001</v>
      </c>
      <c r="L106" s="155">
        <f>'FY2020 March Account'!$E$106</f>
        <v>34373.479999999996</v>
      </c>
      <c r="M106" s="155">
        <f>'FY2020 April Account'!$E$106</f>
        <v>0</v>
      </c>
      <c r="N106" s="113"/>
      <c r="O106" s="113"/>
      <c r="P106" s="177">
        <f t="shared" si="2"/>
        <v>37000</v>
      </c>
      <c r="Q106" s="155">
        <f t="shared" si="3"/>
        <v>0</v>
      </c>
    </row>
    <row r="107" spans="1:17" x14ac:dyDescent="0.2">
      <c r="A107" s="142"/>
      <c r="B107" s="3"/>
      <c r="C107" s="190"/>
      <c r="D107" s="114"/>
      <c r="F107" s="114"/>
      <c r="P107" s="174"/>
    </row>
    <row r="108" spans="1:17" x14ac:dyDescent="0.2">
      <c r="A108" s="127" t="s">
        <v>114</v>
      </c>
      <c r="B108" s="2"/>
      <c r="C108" s="191"/>
      <c r="D108" s="155"/>
      <c r="E108" s="113"/>
      <c r="F108" s="155"/>
      <c r="G108" s="113"/>
      <c r="H108" s="113"/>
      <c r="I108" s="113"/>
      <c r="J108" s="113"/>
      <c r="K108" s="113"/>
      <c r="L108" s="113"/>
      <c r="M108" s="113"/>
      <c r="N108" s="113"/>
      <c r="O108" s="113"/>
      <c r="P108" s="177"/>
      <c r="Q108" s="155"/>
    </row>
    <row r="109" spans="1:17" x14ac:dyDescent="0.2">
      <c r="A109" s="3"/>
      <c r="B109" s="3" t="s">
        <v>115</v>
      </c>
      <c r="C109" s="190">
        <f>'FY2020 Operating Budget'!C109</f>
        <v>2000</v>
      </c>
      <c r="D109" s="114">
        <f>'FY2020 July Account'!$E$109</f>
        <v>0</v>
      </c>
      <c r="E109" s="114">
        <f>'FY2020 August Account'!$E$109</f>
        <v>0</v>
      </c>
      <c r="F109" s="114">
        <f>'FY2020 September Account'!$E$109</f>
        <v>0</v>
      </c>
      <c r="G109" s="114">
        <f>'FY2020 October Account'!$E$109</f>
        <v>0</v>
      </c>
      <c r="H109" s="114">
        <f>'FY2020 November Account'!$E$109</f>
        <v>0</v>
      </c>
      <c r="I109" s="114">
        <f>'FY2020 December Account'!$E$109</f>
        <v>0</v>
      </c>
      <c r="J109" s="114">
        <f>'FY2020 January Account'!$E$109</f>
        <v>0</v>
      </c>
      <c r="K109" s="114">
        <f>'FY2020 February Account'!$E$109</f>
        <v>0</v>
      </c>
      <c r="L109" s="114">
        <f>'FY2020 March Account'!$E$109</f>
        <v>55465.729999999996</v>
      </c>
      <c r="M109" s="114">
        <f>'FY2020 April Account'!$E$109</f>
        <v>-65000</v>
      </c>
      <c r="P109" s="174">
        <f t="shared" si="2"/>
        <v>-9534.2700000000041</v>
      </c>
      <c r="Q109" s="114">
        <f t="shared" si="3"/>
        <v>11534.270000000004</v>
      </c>
    </row>
    <row r="110" spans="1:17" x14ac:dyDescent="0.2">
      <c r="A110" s="128" t="s">
        <v>116</v>
      </c>
      <c r="B110" s="2"/>
      <c r="C110" s="191">
        <f>'FY2020 Operating Budget'!C110</f>
        <v>2000</v>
      </c>
      <c r="D110" s="155">
        <f>'FY2020 July Account'!$E$110</f>
        <v>0</v>
      </c>
      <c r="E110" s="155">
        <f>'FY2020 August Account'!$E$110</f>
        <v>0</v>
      </c>
      <c r="F110" s="155">
        <f>'FY2020 September Account'!$E$110</f>
        <v>0</v>
      </c>
      <c r="G110" s="155">
        <f>'FY2020 October Account'!$E$110</f>
        <v>0</v>
      </c>
      <c r="H110" s="155">
        <f>'FY2020 November Account'!$E$110</f>
        <v>0</v>
      </c>
      <c r="I110" s="155">
        <f>'FY2020 December Account'!$E$110</f>
        <v>0</v>
      </c>
      <c r="J110" s="155">
        <f>'FY2020 January Account'!$E$110</f>
        <v>0</v>
      </c>
      <c r="K110" s="155">
        <f>'FY2020 February Account'!$E$110</f>
        <v>0</v>
      </c>
      <c r="L110" s="155">
        <f>'FY2020 March Account'!$E$110</f>
        <v>55465.729999999996</v>
      </c>
      <c r="M110" s="155">
        <f>'FY2020 April Account'!$E$110</f>
        <v>-65000</v>
      </c>
      <c r="N110" s="113"/>
      <c r="O110" s="113"/>
      <c r="P110" s="177">
        <f t="shared" si="2"/>
        <v>-9534.2700000000041</v>
      </c>
      <c r="Q110" s="155">
        <f t="shared" si="3"/>
        <v>11534.270000000004</v>
      </c>
    </row>
    <row r="111" spans="1:17" x14ac:dyDescent="0.2">
      <c r="A111" s="3"/>
      <c r="B111" s="3"/>
      <c r="C111" s="190"/>
      <c r="D111" s="114"/>
      <c r="F111" s="114"/>
      <c r="P111" s="174"/>
    </row>
    <row r="112" spans="1:17" x14ac:dyDescent="0.2">
      <c r="A112" s="127" t="s">
        <v>117</v>
      </c>
      <c r="B112" s="2"/>
      <c r="C112" s="191"/>
      <c r="D112" s="155"/>
      <c r="E112" s="113"/>
      <c r="F112" s="155"/>
      <c r="G112" s="113"/>
      <c r="H112" s="113"/>
      <c r="I112" s="113"/>
      <c r="J112" s="113"/>
      <c r="K112" s="113"/>
      <c r="L112" s="113"/>
      <c r="M112" s="113"/>
      <c r="N112" s="113"/>
      <c r="O112" s="113"/>
      <c r="P112" s="177"/>
      <c r="Q112" s="155"/>
    </row>
    <row r="113" spans="1:17" x14ac:dyDescent="0.2">
      <c r="A113" s="3"/>
      <c r="B113" s="3" t="s">
        <v>118</v>
      </c>
      <c r="C113" s="190">
        <f>'FY2020 Operating Budget'!C113</f>
        <v>4500</v>
      </c>
      <c r="D113" s="114">
        <f>'FY2020 July Account'!$E$113</f>
        <v>0</v>
      </c>
      <c r="E113" s="114">
        <f>'FY2020 August Account'!$E$113</f>
        <v>0</v>
      </c>
      <c r="F113" s="114">
        <f>'FY2020 September Account'!$E$113</f>
        <v>0</v>
      </c>
      <c r="G113" s="114">
        <f>'FY2020 October Account'!$E$113</f>
        <v>0</v>
      </c>
      <c r="H113" s="114">
        <f>'FY2020 November Account'!$E$113</f>
        <v>0</v>
      </c>
      <c r="I113" s="114">
        <f>'FY2020 December Account'!$E$113</f>
        <v>0</v>
      </c>
      <c r="J113" s="114">
        <f>'FY2020 January Account'!$E$113</f>
        <v>0</v>
      </c>
      <c r="K113" s="114">
        <f>'FY2020 February Account'!$E$113</f>
        <v>0</v>
      </c>
      <c r="L113" s="114">
        <f>'FY2020 March Account'!$E$113</f>
        <v>4500</v>
      </c>
      <c r="M113" s="114">
        <f>'FY2020 April Account'!$E$113</f>
        <v>0</v>
      </c>
      <c r="P113" s="174">
        <f t="shared" si="2"/>
        <v>4500</v>
      </c>
      <c r="Q113" s="114">
        <f t="shared" si="3"/>
        <v>0</v>
      </c>
    </row>
    <row r="114" spans="1:17" x14ac:dyDescent="0.2">
      <c r="A114" s="3"/>
      <c r="B114" s="3" t="s">
        <v>119</v>
      </c>
      <c r="C114" s="190">
        <f>'FY2020 Operating Budget'!C114</f>
        <v>3000</v>
      </c>
      <c r="D114" s="114">
        <f>'FY2020 July Account'!$E$114</f>
        <v>0</v>
      </c>
      <c r="E114" s="114">
        <f>'FY2020 August Account'!$E$114</f>
        <v>0</v>
      </c>
      <c r="F114" s="114">
        <f>'FY2020 September Account'!$E$114</f>
        <v>0</v>
      </c>
      <c r="G114" s="114">
        <f>'FY2020 October Account'!$E$114</f>
        <v>0</v>
      </c>
      <c r="H114" s="114">
        <f>'FY2020 November Account'!$E$114</f>
        <v>0</v>
      </c>
      <c r="I114" s="114">
        <f>'FY2020 December Account'!$E$114</f>
        <v>0</v>
      </c>
      <c r="J114" s="114">
        <f>'FY2020 January Account'!$E$114</f>
        <v>0</v>
      </c>
      <c r="K114" s="114">
        <f>'FY2020 February Account'!$E$114</f>
        <v>0</v>
      </c>
      <c r="L114" s="114">
        <f>'FY2020 March Account'!$E$114</f>
        <v>3000</v>
      </c>
      <c r="M114" s="114">
        <f>'FY2020 April Account'!$E$114</f>
        <v>0</v>
      </c>
      <c r="P114" s="174">
        <f t="shared" si="2"/>
        <v>3000</v>
      </c>
      <c r="Q114" s="114">
        <f t="shared" si="3"/>
        <v>0</v>
      </c>
    </row>
    <row r="115" spans="1:17" x14ac:dyDescent="0.2">
      <c r="A115" s="3"/>
      <c r="B115" s="3" t="s">
        <v>120</v>
      </c>
      <c r="C115" s="190">
        <f>'FY2020 Operating Budget'!C115</f>
        <v>4500</v>
      </c>
      <c r="D115" s="114">
        <f>'FY2020 July Account'!$E$115</f>
        <v>0</v>
      </c>
      <c r="E115" s="114">
        <f>'FY2020 August Account'!$E$115</f>
        <v>0</v>
      </c>
      <c r="F115" s="114">
        <f>'FY2020 September Account'!$E$115</f>
        <v>0</v>
      </c>
      <c r="G115" s="114">
        <f>'FY2020 October Account'!$E$115</f>
        <v>0</v>
      </c>
      <c r="H115" s="114">
        <f>'FY2020 November Account'!$E$115</f>
        <v>0</v>
      </c>
      <c r="I115" s="114">
        <f>'FY2020 December Account'!$E$115</f>
        <v>0</v>
      </c>
      <c r="J115" s="114">
        <f>'FY2020 January Account'!$E$115</f>
        <v>0</v>
      </c>
      <c r="K115" s="114">
        <f>'FY2020 February Account'!$E$115</f>
        <v>0</v>
      </c>
      <c r="L115" s="114">
        <f>'FY2020 March Account'!$E$115</f>
        <v>3795</v>
      </c>
      <c r="M115" s="114">
        <f>'FY2020 April Account'!$E$115</f>
        <v>705</v>
      </c>
      <c r="P115" s="174">
        <f t="shared" si="2"/>
        <v>4500</v>
      </c>
      <c r="Q115" s="114">
        <f t="shared" si="3"/>
        <v>0</v>
      </c>
    </row>
    <row r="116" spans="1:17" x14ac:dyDescent="0.2">
      <c r="A116" s="128" t="s">
        <v>121</v>
      </c>
      <c r="B116" s="2"/>
      <c r="C116" s="191">
        <f>'FY2020 Operating Budget'!C116</f>
        <v>12000</v>
      </c>
      <c r="D116" s="155">
        <f>'FY2020 July Account'!$E$116</f>
        <v>0</v>
      </c>
      <c r="E116" s="155">
        <f>'FY2020 August Account'!$E$116</f>
        <v>0</v>
      </c>
      <c r="F116" s="155">
        <f>'FY2020 September Account'!$E$116</f>
        <v>0</v>
      </c>
      <c r="G116" s="155">
        <f>'FY2020 October Account'!$E$116</f>
        <v>0</v>
      </c>
      <c r="H116" s="155">
        <f>'FY2020 November Account'!$E$116</f>
        <v>0</v>
      </c>
      <c r="I116" s="155">
        <f>'FY2020 December Account'!$E$116</f>
        <v>0</v>
      </c>
      <c r="J116" s="155">
        <f>'FY2020 January Account'!$E$116</f>
        <v>0</v>
      </c>
      <c r="K116" s="155">
        <f>'FY2020 February Account'!$E$116</f>
        <v>0</v>
      </c>
      <c r="L116" s="155">
        <f>'FY2020 March Account'!$E$116</f>
        <v>11295</v>
      </c>
      <c r="M116" s="155">
        <f>'FY2020 April Account'!$E$116</f>
        <v>705</v>
      </c>
      <c r="N116" s="113"/>
      <c r="O116" s="113"/>
      <c r="P116" s="177">
        <f t="shared" si="2"/>
        <v>12000</v>
      </c>
      <c r="Q116" s="155">
        <f t="shared" si="3"/>
        <v>0</v>
      </c>
    </row>
    <row r="117" spans="1:17" x14ac:dyDescent="0.2">
      <c r="A117" s="3"/>
      <c r="B117" s="3"/>
      <c r="C117" s="190"/>
      <c r="D117" s="114"/>
      <c r="F117" s="114"/>
      <c r="P117" s="174"/>
    </row>
    <row r="118" spans="1:17" x14ac:dyDescent="0.2">
      <c r="A118" s="143" t="s">
        <v>167</v>
      </c>
      <c r="B118" s="141"/>
      <c r="C118" s="198">
        <f>'FY2020 Operating Budget'!C118</f>
        <v>54250</v>
      </c>
      <c r="D118" s="162">
        <f>'FY2020 July Account'!$E$118</f>
        <v>0</v>
      </c>
      <c r="E118" s="169">
        <f>'FY2020 August Account'!$E$118</f>
        <v>0</v>
      </c>
      <c r="F118" s="162">
        <f>'FY2020 September Account'!$E$118</f>
        <v>0</v>
      </c>
      <c r="G118" s="169">
        <f>'FY2020 October Account'!$E$118</f>
        <v>0</v>
      </c>
      <c r="H118" s="169">
        <f>'FY2020 November Account'!$E$118</f>
        <v>250</v>
      </c>
      <c r="I118" s="169">
        <f>'FY2020 December Account'!$E$118</f>
        <v>202.47</v>
      </c>
      <c r="J118" s="169">
        <f>'FY2020 January Account'!$E$118</f>
        <v>1007.64</v>
      </c>
      <c r="K118" s="169">
        <f>'FY2020 February Account'!$E$118</f>
        <v>1991.41</v>
      </c>
      <c r="L118" s="169">
        <f>'FY2020 March Account'!$E$118</f>
        <v>103559.20999999999</v>
      </c>
      <c r="M118" s="169">
        <f>'FY2020 April Account'!$E$118</f>
        <v>-64295</v>
      </c>
      <c r="N118" s="120"/>
      <c r="O118" s="120"/>
      <c r="P118" s="182">
        <f t="shared" si="2"/>
        <v>42715.729999999996</v>
      </c>
      <c r="Q118" s="162">
        <f t="shared" si="3"/>
        <v>11534.270000000004</v>
      </c>
    </row>
    <row r="119" spans="1:17" x14ac:dyDescent="0.2">
      <c r="A119" s="3"/>
      <c r="B119" s="3"/>
      <c r="C119" s="190"/>
      <c r="D119" s="114"/>
      <c r="F119" s="114"/>
      <c r="P119" s="174"/>
    </row>
    <row r="120" spans="1:17" x14ac:dyDescent="0.2">
      <c r="A120" s="144" t="s">
        <v>131</v>
      </c>
      <c r="B120" s="145"/>
      <c r="C120" s="199"/>
      <c r="D120" s="163"/>
      <c r="E120" s="122"/>
      <c r="F120" s="163"/>
      <c r="G120" s="122"/>
      <c r="H120" s="122"/>
      <c r="I120" s="122"/>
      <c r="J120" s="122"/>
      <c r="K120" s="122"/>
      <c r="L120" s="122"/>
      <c r="M120" s="122"/>
      <c r="N120" s="122"/>
      <c r="O120" s="122"/>
      <c r="P120" s="183"/>
      <c r="Q120" s="163"/>
    </row>
    <row r="121" spans="1:17" x14ac:dyDescent="0.2">
      <c r="A121" s="133"/>
      <c r="B121" s="3"/>
      <c r="C121" s="190"/>
      <c r="D121" s="114"/>
      <c r="F121" s="114"/>
      <c r="P121" s="174"/>
    </row>
    <row r="122" spans="1:17" x14ac:dyDescent="0.2">
      <c r="A122" s="127" t="s">
        <v>122</v>
      </c>
      <c r="B122" s="2"/>
      <c r="C122" s="191"/>
      <c r="D122" s="155"/>
      <c r="E122" s="113"/>
      <c r="F122" s="155"/>
      <c r="G122" s="113"/>
      <c r="H122" s="113"/>
      <c r="I122" s="113"/>
      <c r="J122" s="113"/>
      <c r="K122" s="113"/>
      <c r="L122" s="113"/>
      <c r="M122" s="113"/>
      <c r="N122" s="113"/>
      <c r="O122" s="113"/>
      <c r="P122" s="177"/>
      <c r="Q122" s="155"/>
    </row>
    <row r="123" spans="1:17" x14ac:dyDescent="0.2">
      <c r="A123" s="3"/>
      <c r="B123" s="3" t="s">
        <v>123</v>
      </c>
      <c r="C123" s="190">
        <f>'FY2020 Operating Budget'!C123</f>
        <v>26070</v>
      </c>
      <c r="D123" s="114">
        <f>'FY2020 July Account'!$E$123</f>
        <v>0</v>
      </c>
      <c r="E123" s="114">
        <f>'FY2020 August Account'!$E$123</f>
        <v>0</v>
      </c>
      <c r="F123" s="114">
        <f>'FY2020 September Account'!$E$123</f>
        <v>7391.17</v>
      </c>
      <c r="G123" s="114">
        <f>'FY2020 October Account'!$E$123</f>
        <v>0</v>
      </c>
      <c r="H123" s="114">
        <f>'FY2020 November Account'!$E$123</f>
        <v>0</v>
      </c>
      <c r="I123" s="114">
        <f>'FY2020 December Account'!$E$123</f>
        <v>0</v>
      </c>
      <c r="J123" s="114">
        <f>'FY2020 January Account'!$E$123</f>
        <v>0</v>
      </c>
      <c r="K123" s="114">
        <f>'FY2020 February Account'!$E$123</f>
        <v>0</v>
      </c>
      <c r="L123" s="114">
        <f>'FY2020 March Account'!$E$123</f>
        <v>9477.73</v>
      </c>
      <c r="M123" s="114">
        <f>'FY2020 April Account'!$E$123</f>
        <v>0</v>
      </c>
      <c r="P123" s="174">
        <f t="shared" si="2"/>
        <v>16868.900000000001</v>
      </c>
      <c r="Q123" s="114">
        <f t="shared" si="3"/>
        <v>9201.0999999999985</v>
      </c>
    </row>
    <row r="124" spans="1:17" x14ac:dyDescent="0.2">
      <c r="A124" s="128" t="s">
        <v>124</v>
      </c>
      <c r="B124" s="2"/>
      <c r="C124" s="191">
        <f>'FY2020 Operating Budget'!C124</f>
        <v>26070</v>
      </c>
      <c r="D124" s="155">
        <f>'FY2020 July Account'!$E$124</f>
        <v>0</v>
      </c>
      <c r="E124" s="155">
        <f>'FY2020 August Account'!$E$124</f>
        <v>0</v>
      </c>
      <c r="F124" s="155">
        <f>'FY2020 September Account'!$E$124</f>
        <v>7391.17</v>
      </c>
      <c r="G124" s="155">
        <f>'FY2020 October Account'!$E$124</f>
        <v>0</v>
      </c>
      <c r="H124" s="155">
        <f>'FY2020 November Account'!$E$124</f>
        <v>0</v>
      </c>
      <c r="I124" s="155">
        <f>'FY2020 December Account'!$E$124</f>
        <v>0</v>
      </c>
      <c r="J124" s="155">
        <f>'FY2020 January Account'!$E$124</f>
        <v>0</v>
      </c>
      <c r="K124" s="155">
        <f>'FY2020 February Account'!$E$124</f>
        <v>0</v>
      </c>
      <c r="L124" s="155">
        <f>'FY2020 March Account'!$E$124</f>
        <v>9477.73</v>
      </c>
      <c r="M124" s="155">
        <f>'FY2020 April Account'!$E$124</f>
        <v>0</v>
      </c>
      <c r="N124" s="113"/>
      <c r="O124" s="113"/>
      <c r="P124" s="177">
        <f t="shared" si="2"/>
        <v>16868.900000000001</v>
      </c>
      <c r="Q124" s="155">
        <f t="shared" si="3"/>
        <v>9201.0999999999985</v>
      </c>
    </row>
    <row r="125" spans="1:17" x14ac:dyDescent="0.2">
      <c r="A125" s="3"/>
      <c r="B125" s="3"/>
      <c r="C125" s="190"/>
      <c r="D125" s="114"/>
      <c r="F125" s="114"/>
      <c r="P125" s="174"/>
    </row>
    <row r="126" spans="1:17" x14ac:dyDescent="0.2">
      <c r="A126" s="146" t="s">
        <v>125</v>
      </c>
      <c r="B126" s="145"/>
      <c r="C126" s="199">
        <f>'FY2020 Operating Budget'!C126</f>
        <v>26070</v>
      </c>
      <c r="D126" s="163">
        <f>'FY2020 July Account'!$E$126</f>
        <v>0</v>
      </c>
      <c r="E126" s="170">
        <f>'FY2020 August Account'!$E$126</f>
        <v>0</v>
      </c>
      <c r="F126" s="163">
        <f>'FY2020 September Account'!$E$126</f>
        <v>7391.17</v>
      </c>
      <c r="G126" s="170">
        <f>'FY2020 October Account'!$E$126</f>
        <v>0</v>
      </c>
      <c r="H126" s="170">
        <f>'FY2020 November Account'!$E$126</f>
        <v>0</v>
      </c>
      <c r="I126" s="170">
        <f>'FY2020 December Account'!$E$126</f>
        <v>0</v>
      </c>
      <c r="J126" s="170">
        <f>'FY2020 January Account'!$E$126</f>
        <v>0</v>
      </c>
      <c r="K126" s="170">
        <f>'FY2020 February Account'!$E$126</f>
        <v>0</v>
      </c>
      <c r="L126" s="170">
        <f>'FY2020 March Account'!$E$126</f>
        <v>9477.73</v>
      </c>
      <c r="M126" s="170">
        <f>'FY2020 April Account'!$E$126</f>
        <v>0</v>
      </c>
      <c r="N126" s="122"/>
      <c r="O126" s="122"/>
      <c r="P126" s="183">
        <f t="shared" si="2"/>
        <v>16868.900000000001</v>
      </c>
      <c r="Q126" s="163">
        <f t="shared" si="3"/>
        <v>9201.0999999999985</v>
      </c>
    </row>
    <row r="127" spans="1:17" x14ac:dyDescent="0.2">
      <c r="C127" s="184"/>
      <c r="P127" s="174"/>
    </row>
    <row r="128" spans="1:17" ht="15.75" x14ac:dyDescent="0.25">
      <c r="A128" s="212" t="s">
        <v>2116</v>
      </c>
      <c r="B128" s="210"/>
      <c r="C128" s="215"/>
      <c r="D128" s="213">
        <f>'FY2020 July Account'!E129</f>
        <v>1077.0700000000002</v>
      </c>
      <c r="E128" s="213">
        <f>'FY2020 August Account'!E129</f>
        <v>20633.560000000001</v>
      </c>
      <c r="F128" s="213">
        <f>'FY2020 September Account'!E129</f>
        <v>46317.75</v>
      </c>
      <c r="G128" s="213">
        <f>'FY2020 October Account'!E129</f>
        <v>48127.839999999997</v>
      </c>
      <c r="H128" s="213">
        <f>'FY2020 November Account'!E129</f>
        <v>407.76</v>
      </c>
      <c r="I128" s="213">
        <f>'FY2020 December Account'!E129</f>
        <v>10888.55</v>
      </c>
      <c r="J128" s="213">
        <f>'FY2020 January Account'!E129</f>
        <v>390.65</v>
      </c>
      <c r="K128" s="213">
        <f>'FY2020 February Account'!$E129</f>
        <v>80362.510000000009</v>
      </c>
      <c r="L128" s="213">
        <f>'FY2020 March Account'!$E129</f>
        <v>5629.68</v>
      </c>
      <c r="M128" s="213">
        <f>'FY2020 April Account'!$E129</f>
        <v>0</v>
      </c>
      <c r="N128" s="210"/>
      <c r="O128" s="210"/>
      <c r="P128" s="214">
        <f>SUM(D128:O128)</f>
        <v>213835.37</v>
      </c>
      <c r="Q128" s="211"/>
    </row>
    <row r="129" spans="1:17" ht="15.75" x14ac:dyDescent="0.25">
      <c r="A129" s="291" t="s">
        <v>2129</v>
      </c>
      <c r="B129" s="210"/>
      <c r="C129" s="215"/>
      <c r="D129" s="213">
        <f>SUM($D128:D128)</f>
        <v>1077.0700000000002</v>
      </c>
      <c r="E129" s="213">
        <f>SUM($D128:E128)</f>
        <v>21710.63</v>
      </c>
      <c r="F129" s="213">
        <f>SUM($D128:F128)</f>
        <v>68028.38</v>
      </c>
      <c r="G129" s="213">
        <f>SUM($D128:G128)</f>
        <v>116156.22</v>
      </c>
      <c r="H129" s="213">
        <f>SUM($D128:H128)</f>
        <v>116563.98</v>
      </c>
      <c r="I129" s="213">
        <f>SUM($D128:I128)</f>
        <v>127452.53</v>
      </c>
      <c r="J129" s="213">
        <f>SUM($D128:J128)</f>
        <v>127843.18</v>
      </c>
      <c r="K129" s="213">
        <f>SUM($D128:K128)</f>
        <v>208205.69</v>
      </c>
      <c r="L129" s="213">
        <f>SUM($D128:L128)</f>
        <v>213835.37</v>
      </c>
      <c r="M129" s="213">
        <f>SUM($D128:M128)</f>
        <v>213835.37</v>
      </c>
      <c r="N129" s="213">
        <f>SUM($D128:N128)</f>
        <v>213835.37</v>
      </c>
      <c r="O129" s="213">
        <f>SUM($D128:O128)</f>
        <v>213835.37</v>
      </c>
      <c r="P129" s="214"/>
      <c r="Q129" s="211"/>
    </row>
    <row r="130" spans="1:17" ht="15.75" x14ac:dyDescent="0.25">
      <c r="A130" s="212" t="s">
        <v>2117</v>
      </c>
      <c r="B130" s="210"/>
      <c r="C130" s="215"/>
      <c r="D130" s="213">
        <f>'FY2020 July Account'!E130</f>
        <v>6491.6600000000017</v>
      </c>
      <c r="E130" s="213">
        <f>'FY2020 August Account'!E130</f>
        <v>8194.0500000000011</v>
      </c>
      <c r="F130" s="213">
        <f>'FY2020 September Account'!E130</f>
        <v>19606.230000000003</v>
      </c>
      <c r="G130" s="213">
        <f>'FY2020 October Account'!E130</f>
        <v>17055.080000000002</v>
      </c>
      <c r="H130" s="213">
        <f>'FY2020 November Account'!E130</f>
        <v>21291.82</v>
      </c>
      <c r="I130" s="213">
        <f>'FY2020 December Account'!E130</f>
        <v>12173.99</v>
      </c>
      <c r="J130" s="213">
        <f>'FY2020 January Account'!E130</f>
        <v>13086.32</v>
      </c>
      <c r="K130" s="213">
        <f>'FY2020 February Account'!$E130</f>
        <v>18378.7</v>
      </c>
      <c r="L130" s="213">
        <f>'FY2020 March Account'!$E130</f>
        <v>159748.78</v>
      </c>
      <c r="M130" s="213">
        <f>'FY2020 April Account'!$E130</f>
        <v>-64163</v>
      </c>
      <c r="N130" s="210"/>
      <c r="O130" s="210"/>
      <c r="P130" s="214">
        <f t="shared" ref="P130:P132" si="4">SUM(D130:O130)</f>
        <v>211863.63</v>
      </c>
      <c r="Q130" s="211"/>
    </row>
    <row r="131" spans="1:17" ht="15.75" x14ac:dyDescent="0.25">
      <c r="A131" s="291" t="s">
        <v>2130</v>
      </c>
      <c r="B131" s="210"/>
      <c r="C131" s="215"/>
      <c r="D131" s="213">
        <f>SUM($D130:D130)</f>
        <v>6491.6600000000017</v>
      </c>
      <c r="E131" s="213">
        <f>SUM($D130:E130)</f>
        <v>14685.710000000003</v>
      </c>
      <c r="F131" s="213">
        <f>SUM($D130:F130)</f>
        <v>34291.94</v>
      </c>
      <c r="G131" s="213">
        <f>SUM($D130:G130)</f>
        <v>51347.020000000004</v>
      </c>
      <c r="H131" s="213">
        <f>SUM($D130:H130)</f>
        <v>72638.84</v>
      </c>
      <c r="I131" s="213">
        <f>SUM($D130:I130)</f>
        <v>84812.83</v>
      </c>
      <c r="J131" s="213">
        <f>SUM($D130:J130)</f>
        <v>97899.15</v>
      </c>
      <c r="K131" s="213">
        <f>SUM($D130:K130)</f>
        <v>116277.84999999999</v>
      </c>
      <c r="L131" s="213">
        <f>SUM($D130:L130)</f>
        <v>276026.63</v>
      </c>
      <c r="M131" s="213">
        <f>SUM($D130:M130)</f>
        <v>211863.63</v>
      </c>
      <c r="N131" s="213">
        <f>SUM($D130:N130)</f>
        <v>211863.63</v>
      </c>
      <c r="O131" s="213">
        <f>SUM($D130:O130)</f>
        <v>211863.63</v>
      </c>
      <c r="P131" s="214"/>
      <c r="Q131" s="211"/>
    </row>
    <row r="132" spans="1:17" ht="15.75" x14ac:dyDescent="0.25">
      <c r="A132" s="212" t="s">
        <v>2132</v>
      </c>
      <c r="B132" s="210"/>
      <c r="C132" s="215"/>
      <c r="D132" s="213">
        <f>'FY2020 July Account'!E131</f>
        <v>-5414.590000000002</v>
      </c>
      <c r="E132" s="213">
        <f>'FY2020 August Account'!E131</f>
        <v>12439.51</v>
      </c>
      <c r="F132" s="213">
        <f>'FY2020 September Account'!E131</f>
        <v>26711.519999999997</v>
      </c>
      <c r="G132" s="213">
        <f>'FY2020 October Account'!E131</f>
        <v>31072.759999999995</v>
      </c>
      <c r="H132" s="213">
        <f>'FY2020 November Account'!E131</f>
        <v>-20884.060000000001</v>
      </c>
      <c r="I132" s="213">
        <f>'FY2020 December Account'!E131</f>
        <v>-1285.4400000000005</v>
      </c>
      <c r="J132" s="213">
        <f>'FY2020 January Account'!E131</f>
        <v>-12695.67</v>
      </c>
      <c r="K132" s="213">
        <f>'FY2020 February Account'!$E131</f>
        <v>61983.810000000012</v>
      </c>
      <c r="L132" s="213">
        <f>'FY2020 March Account'!$E131</f>
        <v>-154119.1</v>
      </c>
      <c r="M132" s="213">
        <f>'FY2020 April Account'!$E131</f>
        <v>64163</v>
      </c>
      <c r="N132" s="210"/>
      <c r="O132" s="210"/>
      <c r="P132" s="214">
        <f t="shared" si="4"/>
        <v>1971.7399999999907</v>
      </c>
      <c r="Q132" s="211"/>
    </row>
    <row r="133" spans="1:17" ht="15.75" x14ac:dyDescent="0.25">
      <c r="A133" s="291" t="s">
        <v>2133</v>
      </c>
      <c r="B133" s="210"/>
      <c r="C133" s="290"/>
      <c r="D133" s="217">
        <f>SUM($D132:D132)</f>
        <v>-5414.590000000002</v>
      </c>
      <c r="E133" s="213">
        <f>SUM($D132:E132)</f>
        <v>7024.9199999999983</v>
      </c>
      <c r="F133" s="213">
        <f>SUM($D132:F132)</f>
        <v>33736.439999999995</v>
      </c>
      <c r="G133" s="213">
        <f>SUM($D132:G132)</f>
        <v>64809.19999999999</v>
      </c>
      <c r="H133" s="213">
        <f>SUM($D132:H132)</f>
        <v>43925.139999999985</v>
      </c>
      <c r="I133" s="213">
        <f>SUM($D132:I132)</f>
        <v>42639.699999999983</v>
      </c>
      <c r="J133" s="213">
        <f>SUM($D132:J132)</f>
        <v>29944.029999999984</v>
      </c>
      <c r="K133" s="213">
        <f>SUM($D132:K132)</f>
        <v>91927.84</v>
      </c>
      <c r="L133" s="213">
        <f>SUM($D132:L132)</f>
        <v>-62191.260000000009</v>
      </c>
      <c r="M133" s="213">
        <f>SUM($D132:M132)</f>
        <v>1971.7399999999907</v>
      </c>
      <c r="N133" s="213">
        <f>SUM($D132:N132)</f>
        <v>1971.7399999999907</v>
      </c>
      <c r="O133" s="213">
        <f>SUM($D132:O132)</f>
        <v>1971.7399999999907</v>
      </c>
      <c r="P133" s="214"/>
      <c r="Q133" s="211"/>
    </row>
    <row r="134" spans="1:17" ht="15.75" x14ac:dyDescent="0.25">
      <c r="A134" s="291" t="s">
        <v>2131</v>
      </c>
      <c r="B134" s="210"/>
      <c r="C134" s="215"/>
      <c r="D134" s="261">
        <f>$C19+SUM($D19:D19)</f>
        <v>204210.71</v>
      </c>
      <c r="E134" s="261">
        <f>$C19+SUM($D19:E19)</f>
        <v>216650.21999999997</v>
      </c>
      <c r="F134" s="261">
        <f>$C19+SUM($D19:F19)</f>
        <v>243361.74</v>
      </c>
      <c r="G134" s="261">
        <f>$C19+SUM($D19:G19)</f>
        <v>274434.5</v>
      </c>
      <c r="H134" s="261">
        <f>$C19+SUM($D19:H19)</f>
        <v>254002.45999999996</v>
      </c>
      <c r="I134" s="261">
        <f>$C19+SUM($D19:I19)</f>
        <v>252717.01999999996</v>
      </c>
      <c r="J134" s="261">
        <f>$C19+SUM($D19:J19)</f>
        <v>240021.34999999998</v>
      </c>
      <c r="K134" s="261">
        <f>$C19+SUM($D19:K19)</f>
        <v>302005.15999999997</v>
      </c>
      <c r="L134" s="261">
        <f>$C19+SUM($D19:L19)</f>
        <v>147886.06</v>
      </c>
      <c r="M134" s="261">
        <f>$C19+SUM($D19:M19)</f>
        <v>212049.06</v>
      </c>
      <c r="N134" s="261">
        <f>$C19+SUM($D19:N19)</f>
        <v>212049.06</v>
      </c>
      <c r="O134" s="261">
        <f>$C19+SUM($D19:O19)</f>
        <v>212049.06</v>
      </c>
      <c r="P134" s="214"/>
      <c r="Q134" s="211"/>
    </row>
  </sheetData>
  <mergeCells count="1">
    <mergeCell ref="A2:Q3"/>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FD935-7DA7-4B7F-B732-FA6CE736D2C2}">
  <dimension ref="A1:F59"/>
  <sheetViews>
    <sheetView topLeftCell="A10" workbookViewId="0">
      <selection sqref="A1:F59"/>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531110</v>
      </c>
      <c r="B2" s="35" t="s">
        <v>27</v>
      </c>
      <c r="C2" s="35" t="s">
        <v>142</v>
      </c>
      <c r="D2" s="35" t="s">
        <v>1343</v>
      </c>
      <c r="E2" s="35">
        <v>-29</v>
      </c>
      <c r="F2" s="34">
        <v>43252</v>
      </c>
    </row>
    <row r="3" spans="1:6" ht="15.75" x14ac:dyDescent="0.25">
      <c r="A3" s="35">
        <v>531110</v>
      </c>
      <c r="B3" s="35" t="s">
        <v>27</v>
      </c>
      <c r="C3" s="35" t="s">
        <v>142</v>
      </c>
      <c r="D3" s="35">
        <v>2000004520</v>
      </c>
      <c r="E3" s="35">
        <v>-29</v>
      </c>
      <c r="F3" s="34">
        <v>43252</v>
      </c>
    </row>
    <row r="4" spans="1:6" ht="15.75" x14ac:dyDescent="0.25">
      <c r="A4" s="35">
        <v>531110</v>
      </c>
      <c r="B4" s="35" t="s">
        <v>27</v>
      </c>
      <c r="C4" s="35" t="s">
        <v>142</v>
      </c>
      <c r="D4" s="35">
        <v>2000004520</v>
      </c>
      <c r="E4" s="35">
        <v>-29</v>
      </c>
      <c r="F4" s="34">
        <v>43252</v>
      </c>
    </row>
    <row r="5" spans="1:6" ht="15.75" x14ac:dyDescent="0.25">
      <c r="A5" s="35">
        <v>531110</v>
      </c>
      <c r="B5" s="35" t="s">
        <v>27</v>
      </c>
      <c r="C5" s="35" t="s">
        <v>142</v>
      </c>
      <c r="D5" s="35" t="s">
        <v>1343</v>
      </c>
      <c r="E5" s="35">
        <v>33.06</v>
      </c>
      <c r="F5" s="34">
        <v>43252</v>
      </c>
    </row>
    <row r="6" spans="1:6" ht="15.75" x14ac:dyDescent="0.25">
      <c r="A6" s="35">
        <v>526712</v>
      </c>
      <c r="B6" s="35" t="s">
        <v>14</v>
      </c>
      <c r="C6" s="35" t="s">
        <v>1344</v>
      </c>
      <c r="D6" s="35" t="s">
        <v>1345</v>
      </c>
      <c r="E6" s="35">
        <v>46.46</v>
      </c>
      <c r="F6" s="34">
        <v>43252</v>
      </c>
    </row>
    <row r="7" spans="1:6" ht="15.75" x14ac:dyDescent="0.25">
      <c r="A7" s="35">
        <v>526712</v>
      </c>
      <c r="B7" s="35" t="s">
        <v>14</v>
      </c>
      <c r="C7" s="35" t="s">
        <v>1346</v>
      </c>
      <c r="D7" s="35" t="s">
        <v>1347</v>
      </c>
      <c r="E7" s="35">
        <v>46.86</v>
      </c>
      <c r="F7" s="34">
        <v>43252</v>
      </c>
    </row>
    <row r="8" spans="1:6" ht="15.75" x14ac:dyDescent="0.25">
      <c r="A8" s="35">
        <v>526712</v>
      </c>
      <c r="B8" s="35" t="s">
        <v>14</v>
      </c>
      <c r="C8" s="35" t="s">
        <v>1348</v>
      </c>
      <c r="D8" s="35" t="s">
        <v>1349</v>
      </c>
      <c r="E8" s="35">
        <v>89.1</v>
      </c>
      <c r="F8" s="34">
        <v>43252</v>
      </c>
    </row>
    <row r="9" spans="1:6" ht="15.75" x14ac:dyDescent="0.25">
      <c r="A9" s="35">
        <v>526712</v>
      </c>
      <c r="B9" s="35" t="s">
        <v>14</v>
      </c>
      <c r="C9" s="35" t="s">
        <v>1350</v>
      </c>
      <c r="D9" s="35" t="s">
        <v>1351</v>
      </c>
      <c r="E9" s="35">
        <v>104.94</v>
      </c>
      <c r="F9" s="34">
        <v>43252</v>
      </c>
    </row>
    <row r="10" spans="1:6" ht="15.75" x14ac:dyDescent="0.25">
      <c r="A10" s="35">
        <v>526741</v>
      </c>
      <c r="B10" s="35" t="s">
        <v>23</v>
      </c>
      <c r="C10" s="35" t="s">
        <v>812</v>
      </c>
      <c r="D10" s="35" t="s">
        <v>1352</v>
      </c>
      <c r="E10" s="35">
        <v>1696</v>
      </c>
      <c r="F10" s="34">
        <v>43252</v>
      </c>
    </row>
    <row r="11" spans="1:6" ht="15.75" x14ac:dyDescent="0.25">
      <c r="A11" s="35">
        <v>558921</v>
      </c>
      <c r="B11" s="35" t="s">
        <v>262</v>
      </c>
      <c r="C11" s="35" t="s">
        <v>924</v>
      </c>
      <c r="D11" s="35" t="s">
        <v>1353</v>
      </c>
      <c r="E11" s="35">
        <v>26.97</v>
      </c>
      <c r="F11" s="34">
        <v>43255</v>
      </c>
    </row>
    <row r="12" spans="1:6" ht="15.75" x14ac:dyDescent="0.25">
      <c r="A12" s="35">
        <v>527310</v>
      </c>
      <c r="B12" s="35" t="s">
        <v>1354</v>
      </c>
      <c r="C12" s="35" t="s">
        <v>178</v>
      </c>
      <c r="D12" s="35" t="s">
        <v>1355</v>
      </c>
      <c r="E12" s="35">
        <v>117</v>
      </c>
      <c r="F12" s="34">
        <v>43255</v>
      </c>
    </row>
    <row r="13" spans="1:6" ht="15.75" x14ac:dyDescent="0.25">
      <c r="A13" s="35">
        <v>537210</v>
      </c>
      <c r="B13" s="35" t="s">
        <v>1356</v>
      </c>
      <c r="C13" s="35" t="s">
        <v>178</v>
      </c>
      <c r="D13" s="35" t="s">
        <v>1357</v>
      </c>
      <c r="E13" s="35">
        <v>173.04</v>
      </c>
      <c r="F13" s="34">
        <v>43255</v>
      </c>
    </row>
    <row r="14" spans="1:6" ht="15.75" x14ac:dyDescent="0.25">
      <c r="A14" s="35">
        <v>527120</v>
      </c>
      <c r="B14" s="35" t="s">
        <v>143</v>
      </c>
      <c r="C14" s="35" t="s">
        <v>144</v>
      </c>
      <c r="D14" s="35" t="s">
        <v>1358</v>
      </c>
      <c r="E14" s="35">
        <v>14.5</v>
      </c>
      <c r="F14" s="34">
        <v>43256</v>
      </c>
    </row>
    <row r="15" spans="1:6" ht="15.75" x14ac:dyDescent="0.25">
      <c r="A15" s="35">
        <v>527120</v>
      </c>
      <c r="B15" s="35" t="s">
        <v>143</v>
      </c>
      <c r="C15" s="35" t="s">
        <v>144</v>
      </c>
      <c r="D15" s="35" t="s">
        <v>1358</v>
      </c>
      <c r="E15" s="35">
        <v>14.5</v>
      </c>
      <c r="F15" s="34">
        <v>43256</v>
      </c>
    </row>
    <row r="16" spans="1:6" ht="15.75" x14ac:dyDescent="0.25">
      <c r="A16" s="35">
        <v>537210</v>
      </c>
      <c r="B16" s="35" t="s">
        <v>1356</v>
      </c>
      <c r="C16" s="35" t="s">
        <v>263</v>
      </c>
      <c r="D16" s="35" t="s">
        <v>1359</v>
      </c>
      <c r="E16" s="35">
        <v>178.45</v>
      </c>
      <c r="F16" s="34">
        <v>43263</v>
      </c>
    </row>
    <row r="17" spans="1:6" ht="15.75" x14ac:dyDescent="0.25">
      <c r="A17" s="35">
        <v>531110</v>
      </c>
      <c r="B17" s="35" t="s">
        <v>27</v>
      </c>
      <c r="C17" s="35" t="s">
        <v>142</v>
      </c>
      <c r="D17" s="35">
        <v>2000004467</v>
      </c>
      <c r="E17" s="35">
        <v>0</v>
      </c>
      <c r="F17" s="34">
        <v>43264</v>
      </c>
    </row>
    <row r="18" spans="1:6" ht="15.75" x14ac:dyDescent="0.25">
      <c r="A18" s="35">
        <v>531110</v>
      </c>
      <c r="B18" s="35" t="s">
        <v>27</v>
      </c>
      <c r="C18" s="35"/>
      <c r="D18" s="35">
        <v>1000005075</v>
      </c>
      <c r="E18" s="35">
        <v>0</v>
      </c>
      <c r="F18" s="34">
        <v>43264</v>
      </c>
    </row>
    <row r="19" spans="1:6" ht="15.75" x14ac:dyDescent="0.25">
      <c r="A19" s="35">
        <v>531110</v>
      </c>
      <c r="B19" s="35" t="s">
        <v>27</v>
      </c>
      <c r="C19" s="35" t="s">
        <v>142</v>
      </c>
      <c r="D19" s="35">
        <v>2000004467</v>
      </c>
      <c r="E19" s="35">
        <v>29</v>
      </c>
      <c r="F19" s="34">
        <v>43264</v>
      </c>
    </row>
    <row r="20" spans="1:6" ht="15.75" x14ac:dyDescent="0.25">
      <c r="A20" s="35">
        <v>531110</v>
      </c>
      <c r="B20" s="35" t="s">
        <v>27</v>
      </c>
      <c r="C20" s="35"/>
      <c r="D20" s="35">
        <v>1000005075</v>
      </c>
      <c r="E20" s="35">
        <v>29</v>
      </c>
      <c r="F20" s="34">
        <v>43264</v>
      </c>
    </row>
    <row r="21" spans="1:6" ht="15.75" x14ac:dyDescent="0.25">
      <c r="A21" s="35">
        <v>524741</v>
      </c>
      <c r="B21" s="35" t="s">
        <v>1360</v>
      </c>
      <c r="C21" s="35" t="s">
        <v>1361</v>
      </c>
      <c r="D21" s="35" t="s">
        <v>1362</v>
      </c>
      <c r="E21" s="35">
        <v>2221.1999999999998</v>
      </c>
      <c r="F21" s="34">
        <v>43265</v>
      </c>
    </row>
    <row r="22" spans="1:6" ht="15.75" x14ac:dyDescent="0.25">
      <c r="A22" s="35">
        <v>558979</v>
      </c>
      <c r="B22" s="35" t="s">
        <v>150</v>
      </c>
      <c r="C22" s="35" t="s">
        <v>789</v>
      </c>
      <c r="D22" s="35" t="s">
        <v>1363</v>
      </c>
      <c r="E22" s="35">
        <v>333.34</v>
      </c>
      <c r="F22" s="34">
        <v>43266</v>
      </c>
    </row>
    <row r="23" spans="1:6" ht="15.75" x14ac:dyDescent="0.25">
      <c r="A23" s="35">
        <v>558979</v>
      </c>
      <c r="B23" s="35" t="s">
        <v>150</v>
      </c>
      <c r="C23" s="35" t="s">
        <v>309</v>
      </c>
      <c r="D23" s="35" t="s">
        <v>1364</v>
      </c>
      <c r="E23" s="35">
        <v>541.66999999999996</v>
      </c>
      <c r="F23" s="34">
        <v>43266</v>
      </c>
    </row>
    <row r="24" spans="1:6" ht="15.75" x14ac:dyDescent="0.25">
      <c r="A24" s="35">
        <v>531110</v>
      </c>
      <c r="B24" s="35" t="s">
        <v>27</v>
      </c>
      <c r="C24" s="35" t="s">
        <v>142</v>
      </c>
      <c r="D24" s="35" t="s">
        <v>1365</v>
      </c>
      <c r="E24" s="35">
        <v>-29</v>
      </c>
      <c r="F24" s="34">
        <v>43270</v>
      </c>
    </row>
    <row r="25" spans="1:6" ht="15.75" x14ac:dyDescent="0.25">
      <c r="A25" s="35">
        <v>531110</v>
      </c>
      <c r="B25" s="35" t="s">
        <v>27</v>
      </c>
      <c r="C25" s="35" t="s">
        <v>142</v>
      </c>
      <c r="D25" s="35" t="s">
        <v>1365</v>
      </c>
      <c r="E25" s="35">
        <v>-29</v>
      </c>
      <c r="F25" s="34">
        <v>43270</v>
      </c>
    </row>
    <row r="26" spans="1:6" ht="15.75" x14ac:dyDescent="0.25">
      <c r="A26" s="35">
        <v>531110</v>
      </c>
      <c r="B26" s="35" t="s">
        <v>27</v>
      </c>
      <c r="C26" s="35" t="s">
        <v>142</v>
      </c>
      <c r="D26" s="35" t="s">
        <v>1365</v>
      </c>
      <c r="E26" s="35">
        <v>31.04</v>
      </c>
      <c r="F26" s="34">
        <v>43270</v>
      </c>
    </row>
    <row r="27" spans="1:6" ht="15.75" x14ac:dyDescent="0.25">
      <c r="A27" s="35">
        <v>531110</v>
      </c>
      <c r="B27" s="35" t="s">
        <v>27</v>
      </c>
      <c r="C27" s="35" t="s">
        <v>142</v>
      </c>
      <c r="D27" s="35" t="s">
        <v>1365</v>
      </c>
      <c r="E27" s="35">
        <v>31.04</v>
      </c>
      <c r="F27" s="34">
        <v>43270</v>
      </c>
    </row>
    <row r="28" spans="1:6" ht="15.75" x14ac:dyDescent="0.25">
      <c r="A28" s="35">
        <v>527120</v>
      </c>
      <c r="B28" s="35" t="s">
        <v>143</v>
      </c>
      <c r="C28" s="35" t="s">
        <v>144</v>
      </c>
      <c r="D28" s="35" t="s">
        <v>1366</v>
      </c>
      <c r="E28" s="35">
        <v>-14.5</v>
      </c>
      <c r="F28" s="34">
        <v>43271</v>
      </c>
    </row>
    <row r="29" spans="1:6" ht="15.75" x14ac:dyDescent="0.25">
      <c r="A29" s="35">
        <v>527120</v>
      </c>
      <c r="B29" s="35" t="s">
        <v>143</v>
      </c>
      <c r="C29" s="35" t="s">
        <v>144</v>
      </c>
      <c r="D29" s="35" t="s">
        <v>1366</v>
      </c>
      <c r="E29" s="35">
        <v>-14.5</v>
      </c>
      <c r="F29" s="34">
        <v>43271</v>
      </c>
    </row>
    <row r="30" spans="1:6" ht="15.75" x14ac:dyDescent="0.25">
      <c r="A30" s="35">
        <v>527120</v>
      </c>
      <c r="B30" s="35" t="s">
        <v>143</v>
      </c>
      <c r="C30" s="35" t="s">
        <v>144</v>
      </c>
      <c r="D30" s="35" t="s">
        <v>1366</v>
      </c>
      <c r="E30" s="35">
        <v>14.5</v>
      </c>
      <c r="F30" s="34">
        <v>43271</v>
      </c>
    </row>
    <row r="31" spans="1:6" ht="15.75" x14ac:dyDescent="0.25">
      <c r="A31" s="35">
        <v>527120</v>
      </c>
      <c r="B31" s="35" t="s">
        <v>143</v>
      </c>
      <c r="C31" s="35" t="s">
        <v>144</v>
      </c>
      <c r="D31" s="35" t="s">
        <v>1366</v>
      </c>
      <c r="E31" s="35">
        <v>14.5</v>
      </c>
      <c r="F31" s="34">
        <v>43271</v>
      </c>
    </row>
    <row r="32" spans="1:6" ht="15.75" x14ac:dyDescent="0.25">
      <c r="A32" s="35">
        <v>527120</v>
      </c>
      <c r="B32" s="35" t="s">
        <v>143</v>
      </c>
      <c r="C32" s="35" t="s">
        <v>144</v>
      </c>
      <c r="D32" s="35" t="s">
        <v>1366</v>
      </c>
      <c r="E32" s="35">
        <v>14.5</v>
      </c>
      <c r="F32" s="34">
        <v>43271</v>
      </c>
    </row>
    <row r="33" spans="1:6" ht="15.75" x14ac:dyDescent="0.25">
      <c r="A33" s="35">
        <v>527120</v>
      </c>
      <c r="B33" s="35" t="s">
        <v>143</v>
      </c>
      <c r="C33" s="35" t="s">
        <v>144</v>
      </c>
      <c r="D33" s="35" t="s">
        <v>1366</v>
      </c>
      <c r="E33" s="35">
        <v>14.5</v>
      </c>
      <c r="F33" s="34">
        <v>43271</v>
      </c>
    </row>
    <row r="34" spans="1:6" ht="15.75" x14ac:dyDescent="0.25">
      <c r="A34" s="35">
        <v>528320</v>
      </c>
      <c r="B34" s="35" t="s">
        <v>667</v>
      </c>
      <c r="C34" s="35" t="s">
        <v>178</v>
      </c>
      <c r="D34" s="35" t="s">
        <v>1367</v>
      </c>
      <c r="E34" s="35">
        <v>325</v>
      </c>
      <c r="F34" s="34">
        <v>43272</v>
      </c>
    </row>
    <row r="35" spans="1:6" ht="15.75" x14ac:dyDescent="0.25">
      <c r="A35" s="35">
        <v>526741</v>
      </c>
      <c r="B35" s="35" t="s">
        <v>23</v>
      </c>
      <c r="C35" s="35" t="s">
        <v>178</v>
      </c>
      <c r="D35" s="35" t="s">
        <v>1367</v>
      </c>
      <c r="E35" s="35">
        <v>412.13</v>
      </c>
      <c r="F35" s="34">
        <v>43272</v>
      </c>
    </row>
    <row r="36" spans="1:6" ht="15.75" x14ac:dyDescent="0.25">
      <c r="A36" s="35">
        <v>531110</v>
      </c>
      <c r="B36" s="35" t="s">
        <v>27</v>
      </c>
      <c r="C36" s="35" t="s">
        <v>142</v>
      </c>
      <c r="D36" s="35">
        <v>2000004520</v>
      </c>
      <c r="E36" s="35">
        <v>0</v>
      </c>
      <c r="F36" s="34">
        <v>43274</v>
      </c>
    </row>
    <row r="37" spans="1:6" ht="15.75" x14ac:dyDescent="0.25">
      <c r="A37" s="35">
        <v>531110</v>
      </c>
      <c r="B37" s="35" t="s">
        <v>27</v>
      </c>
      <c r="C37" s="35" t="s">
        <v>142</v>
      </c>
      <c r="D37" s="35">
        <v>2000004520</v>
      </c>
      <c r="E37" s="35">
        <v>0</v>
      </c>
      <c r="F37" s="34">
        <v>43274</v>
      </c>
    </row>
    <row r="38" spans="1:6" ht="15.75" x14ac:dyDescent="0.25">
      <c r="A38" s="35">
        <v>531110</v>
      </c>
      <c r="B38" s="35" t="s">
        <v>27</v>
      </c>
      <c r="C38" s="35"/>
      <c r="D38" s="35">
        <v>1000005119</v>
      </c>
      <c r="E38" s="35">
        <v>0</v>
      </c>
      <c r="F38" s="34">
        <v>43274</v>
      </c>
    </row>
    <row r="39" spans="1:6" ht="15.75" x14ac:dyDescent="0.25">
      <c r="A39" s="35">
        <v>531110</v>
      </c>
      <c r="B39" s="35" t="s">
        <v>27</v>
      </c>
      <c r="C39" s="35"/>
      <c r="D39" s="35">
        <v>1000005119</v>
      </c>
      <c r="E39" s="35">
        <v>0</v>
      </c>
      <c r="F39" s="34">
        <v>43274</v>
      </c>
    </row>
    <row r="40" spans="1:6" ht="15.75" x14ac:dyDescent="0.25">
      <c r="A40" s="35">
        <v>531110</v>
      </c>
      <c r="B40" s="35" t="s">
        <v>27</v>
      </c>
      <c r="C40" s="35" t="s">
        <v>142</v>
      </c>
      <c r="D40" s="35">
        <v>2000004520</v>
      </c>
      <c r="E40" s="35">
        <v>29</v>
      </c>
      <c r="F40" s="34">
        <v>43274</v>
      </c>
    </row>
    <row r="41" spans="1:6" ht="15.75" x14ac:dyDescent="0.25">
      <c r="A41" s="35">
        <v>531110</v>
      </c>
      <c r="B41" s="35" t="s">
        <v>27</v>
      </c>
      <c r="C41" s="35" t="s">
        <v>142</v>
      </c>
      <c r="D41" s="35">
        <v>2000004520</v>
      </c>
      <c r="E41" s="35">
        <v>29</v>
      </c>
      <c r="F41" s="34">
        <v>43274</v>
      </c>
    </row>
    <row r="42" spans="1:6" ht="15.75" x14ac:dyDescent="0.25">
      <c r="A42" s="35">
        <v>531110</v>
      </c>
      <c r="B42" s="35" t="s">
        <v>27</v>
      </c>
      <c r="C42" s="35"/>
      <c r="D42" s="35">
        <v>1000005119</v>
      </c>
      <c r="E42" s="35">
        <v>29</v>
      </c>
      <c r="F42" s="34">
        <v>43274</v>
      </c>
    </row>
    <row r="43" spans="1:6" ht="15.75" x14ac:dyDescent="0.25">
      <c r="A43" s="35">
        <v>531110</v>
      </c>
      <c r="B43" s="35" t="s">
        <v>27</v>
      </c>
      <c r="C43" s="35"/>
      <c r="D43" s="35">
        <v>1000005119</v>
      </c>
      <c r="E43" s="35">
        <v>29</v>
      </c>
      <c r="F43" s="34">
        <v>43274</v>
      </c>
    </row>
    <row r="44" spans="1:6" ht="15.75" x14ac:dyDescent="0.25">
      <c r="A44" s="35">
        <v>487110</v>
      </c>
      <c r="B44" s="35" t="s">
        <v>36</v>
      </c>
      <c r="C44" s="35" t="s">
        <v>917</v>
      </c>
      <c r="D44" s="35" t="s">
        <v>1368</v>
      </c>
      <c r="E44" s="35">
        <v>-6247.38</v>
      </c>
      <c r="F44" s="34">
        <v>43276</v>
      </c>
    </row>
    <row r="45" spans="1:6" ht="15.75" x14ac:dyDescent="0.25">
      <c r="A45" s="35">
        <v>487110</v>
      </c>
      <c r="B45" s="35" t="s">
        <v>36</v>
      </c>
      <c r="C45" s="35" t="s">
        <v>864</v>
      </c>
      <c r="D45" s="35" t="s">
        <v>1368</v>
      </c>
      <c r="E45" s="35">
        <v>-934</v>
      </c>
      <c r="F45" s="34">
        <v>43276</v>
      </c>
    </row>
    <row r="46" spans="1:6" ht="15.75" x14ac:dyDescent="0.25">
      <c r="A46" s="35">
        <v>487110</v>
      </c>
      <c r="B46" s="35" t="s">
        <v>36</v>
      </c>
      <c r="C46" s="35" t="s">
        <v>860</v>
      </c>
      <c r="D46" s="35" t="s">
        <v>1368</v>
      </c>
      <c r="E46" s="35">
        <v>-370.61</v>
      </c>
      <c r="F46" s="34">
        <v>43276</v>
      </c>
    </row>
    <row r="47" spans="1:6" ht="15.75" x14ac:dyDescent="0.25">
      <c r="A47" s="35">
        <v>487110</v>
      </c>
      <c r="B47" s="35" t="s">
        <v>36</v>
      </c>
      <c r="C47" s="35" t="s">
        <v>858</v>
      </c>
      <c r="D47" s="35" t="s">
        <v>1368</v>
      </c>
      <c r="E47" s="35">
        <v>-268.72000000000003</v>
      </c>
      <c r="F47" s="34">
        <v>43276</v>
      </c>
    </row>
    <row r="48" spans="1:6" ht="15.75" x14ac:dyDescent="0.25">
      <c r="A48" s="35">
        <v>441720</v>
      </c>
      <c r="B48" s="35" t="s">
        <v>764</v>
      </c>
      <c r="C48" s="35" t="s">
        <v>764</v>
      </c>
      <c r="D48" s="35" t="s">
        <v>1368</v>
      </c>
      <c r="E48" s="35">
        <v>268.72000000000003</v>
      </c>
      <c r="F48" s="34">
        <v>43276</v>
      </c>
    </row>
    <row r="49" spans="1:6" ht="15.75" x14ac:dyDescent="0.25">
      <c r="A49" s="35">
        <v>441720</v>
      </c>
      <c r="B49" s="35" t="s">
        <v>764</v>
      </c>
      <c r="C49" s="35" t="s">
        <v>764</v>
      </c>
      <c r="D49" s="35" t="s">
        <v>1368</v>
      </c>
      <c r="E49" s="35">
        <v>370.61</v>
      </c>
      <c r="F49" s="34">
        <v>43276</v>
      </c>
    </row>
    <row r="50" spans="1:6" ht="15.75" x14ac:dyDescent="0.25">
      <c r="A50" s="35">
        <v>441720</v>
      </c>
      <c r="B50" s="35" t="s">
        <v>764</v>
      </c>
      <c r="C50" s="35" t="s">
        <v>764</v>
      </c>
      <c r="D50" s="35" t="s">
        <v>1368</v>
      </c>
      <c r="E50" s="35">
        <v>934</v>
      </c>
      <c r="F50" s="34">
        <v>43276</v>
      </c>
    </row>
    <row r="51" spans="1:6" ht="15.75" x14ac:dyDescent="0.25">
      <c r="A51" s="35">
        <v>441720</v>
      </c>
      <c r="B51" s="35" t="s">
        <v>764</v>
      </c>
      <c r="C51" s="35" t="s">
        <v>764</v>
      </c>
      <c r="D51" s="35" t="s">
        <v>1368</v>
      </c>
      <c r="E51" s="35">
        <v>6247.38</v>
      </c>
      <c r="F51" s="34">
        <v>43276</v>
      </c>
    </row>
    <row r="52" spans="1:6" ht="15.75" x14ac:dyDescent="0.25">
      <c r="A52" s="35">
        <v>487110</v>
      </c>
      <c r="B52" s="35" t="s">
        <v>36</v>
      </c>
      <c r="C52" s="35" t="s">
        <v>1369</v>
      </c>
      <c r="D52" s="35" t="s">
        <v>1370</v>
      </c>
      <c r="E52" s="35">
        <v>6014.59</v>
      </c>
      <c r="F52" s="34">
        <v>43278</v>
      </c>
    </row>
    <row r="53" spans="1:6" ht="15.75" x14ac:dyDescent="0.25">
      <c r="A53" s="35">
        <v>515130</v>
      </c>
      <c r="B53" s="35" t="s">
        <v>10</v>
      </c>
      <c r="C53" s="35" t="s">
        <v>7</v>
      </c>
      <c r="D53" s="35" t="s">
        <v>1371</v>
      </c>
      <c r="E53" s="35">
        <v>91.46</v>
      </c>
      <c r="F53" s="34">
        <v>43280</v>
      </c>
    </row>
    <row r="54" spans="1:6" ht="15.75" x14ac:dyDescent="0.25">
      <c r="A54" s="35">
        <v>515120</v>
      </c>
      <c r="B54" s="35" t="s">
        <v>9</v>
      </c>
      <c r="C54" s="35" t="s">
        <v>7</v>
      </c>
      <c r="D54" s="35" t="s">
        <v>1371</v>
      </c>
      <c r="E54" s="35">
        <v>391.09</v>
      </c>
      <c r="F54" s="34">
        <v>43280</v>
      </c>
    </row>
    <row r="55" spans="1:6" ht="15.75" x14ac:dyDescent="0.25">
      <c r="A55" s="35">
        <v>515420</v>
      </c>
      <c r="B55" s="35" t="s">
        <v>12</v>
      </c>
      <c r="C55" s="35" t="s">
        <v>7</v>
      </c>
      <c r="D55" s="35" t="s">
        <v>1371</v>
      </c>
      <c r="E55" s="35">
        <v>397.19</v>
      </c>
      <c r="F55" s="34">
        <v>43280</v>
      </c>
    </row>
    <row r="56" spans="1:6" ht="15.75" x14ac:dyDescent="0.25">
      <c r="A56" s="35">
        <v>515410</v>
      </c>
      <c r="B56" s="35" t="s">
        <v>11</v>
      </c>
      <c r="C56" s="35" t="s">
        <v>7</v>
      </c>
      <c r="D56" s="35" t="s">
        <v>1371</v>
      </c>
      <c r="E56" s="35">
        <v>438.9</v>
      </c>
      <c r="F56" s="34">
        <v>43280</v>
      </c>
    </row>
    <row r="57" spans="1:6" ht="15.75" x14ac:dyDescent="0.25">
      <c r="A57" s="35">
        <v>515530</v>
      </c>
      <c r="B57" s="35" t="s">
        <v>13</v>
      </c>
      <c r="C57" s="35" t="s">
        <v>7</v>
      </c>
      <c r="D57" s="35" t="s">
        <v>1371</v>
      </c>
      <c r="E57" s="35">
        <v>498.68</v>
      </c>
      <c r="F57" s="34">
        <v>43280</v>
      </c>
    </row>
    <row r="58" spans="1:6" ht="15.75" x14ac:dyDescent="0.25">
      <c r="A58" s="35">
        <v>511120</v>
      </c>
      <c r="B58" s="35" t="s">
        <v>6</v>
      </c>
      <c r="C58" s="35" t="s">
        <v>7</v>
      </c>
      <c r="D58" s="35" t="s">
        <v>1371</v>
      </c>
      <c r="E58" s="35">
        <v>6416.67</v>
      </c>
      <c r="F58" s="34">
        <v>43280</v>
      </c>
    </row>
    <row r="59" spans="1:6" ht="15.75" x14ac:dyDescent="0.25">
      <c r="A59" s="35">
        <v>558982</v>
      </c>
      <c r="B59" s="35" t="s">
        <v>819</v>
      </c>
      <c r="C59" s="35" t="s">
        <v>1372</v>
      </c>
      <c r="D59" s="35" t="s">
        <v>1373</v>
      </c>
      <c r="E59" s="35">
        <v>860.28</v>
      </c>
      <c r="F59" s="34">
        <v>43281</v>
      </c>
    </row>
  </sheetData>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267D6-4091-46E3-8AAE-7857268DEB06}">
  <dimension ref="A1:F43"/>
  <sheetViews>
    <sheetView workbookViewId="0">
      <selection activeCell="C20" sqref="C20"/>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526712</v>
      </c>
      <c r="B2" s="35" t="s">
        <v>14</v>
      </c>
      <c r="C2" s="35" t="s">
        <v>1304</v>
      </c>
      <c r="D2" s="35" t="s">
        <v>1305</v>
      </c>
      <c r="E2" s="35">
        <v>23.98</v>
      </c>
      <c r="F2" s="34">
        <v>43221</v>
      </c>
    </row>
    <row r="3" spans="1:6" ht="15.75" x14ac:dyDescent="0.25">
      <c r="A3" s="35">
        <v>526712</v>
      </c>
      <c r="B3" s="35" t="s">
        <v>14</v>
      </c>
      <c r="C3" s="35" t="s">
        <v>1176</v>
      </c>
      <c r="D3" s="35" t="s">
        <v>1306</v>
      </c>
      <c r="E3" s="35">
        <v>56.1</v>
      </c>
      <c r="F3" s="34">
        <v>43221</v>
      </c>
    </row>
    <row r="4" spans="1:6" ht="15.75" x14ac:dyDescent="0.25">
      <c r="A4" s="35">
        <v>526712</v>
      </c>
      <c r="B4" s="35" t="s">
        <v>14</v>
      </c>
      <c r="C4" s="35" t="s">
        <v>178</v>
      </c>
      <c r="D4" s="35" t="s">
        <v>1307</v>
      </c>
      <c r="E4" s="35">
        <v>65.540000000000006</v>
      </c>
      <c r="F4" s="34">
        <v>43221</v>
      </c>
    </row>
    <row r="5" spans="1:6" ht="15.75" x14ac:dyDescent="0.25">
      <c r="A5" s="35">
        <v>526741</v>
      </c>
      <c r="B5" s="35" t="s">
        <v>23</v>
      </c>
      <c r="C5" s="35" t="s">
        <v>178</v>
      </c>
      <c r="D5" s="35" t="s">
        <v>1307</v>
      </c>
      <c r="E5" s="35">
        <v>869.05</v>
      </c>
      <c r="F5" s="34">
        <v>43221</v>
      </c>
    </row>
    <row r="6" spans="1:6" ht="15.75" x14ac:dyDescent="0.25">
      <c r="A6" s="35">
        <v>526742</v>
      </c>
      <c r="B6" s="35" t="s">
        <v>26</v>
      </c>
      <c r="C6" s="35" t="s">
        <v>232</v>
      </c>
      <c r="D6" s="35" t="s">
        <v>1308</v>
      </c>
      <c r="E6" s="35">
        <v>57.7</v>
      </c>
      <c r="F6" s="34">
        <v>43223</v>
      </c>
    </row>
    <row r="7" spans="1:6" ht="15.75" x14ac:dyDescent="0.25">
      <c r="A7" s="35">
        <v>526712</v>
      </c>
      <c r="B7" s="35" t="s">
        <v>14</v>
      </c>
      <c r="C7" s="35" t="s">
        <v>232</v>
      </c>
      <c r="D7" s="35" t="s">
        <v>1308</v>
      </c>
      <c r="E7" s="35">
        <v>144.56</v>
      </c>
      <c r="F7" s="34">
        <v>43223</v>
      </c>
    </row>
    <row r="8" spans="1:6" ht="15.75" x14ac:dyDescent="0.25">
      <c r="A8" s="35">
        <v>526741</v>
      </c>
      <c r="B8" s="35" t="s">
        <v>23</v>
      </c>
      <c r="C8" s="35" t="s">
        <v>232</v>
      </c>
      <c r="D8" s="35" t="s">
        <v>1308</v>
      </c>
      <c r="E8" s="35">
        <v>390.72</v>
      </c>
      <c r="F8" s="34">
        <v>43223</v>
      </c>
    </row>
    <row r="9" spans="1:6" ht="15.75" x14ac:dyDescent="0.25">
      <c r="A9" s="35">
        <v>526712</v>
      </c>
      <c r="B9" s="35" t="s">
        <v>14</v>
      </c>
      <c r="C9" s="35" t="s">
        <v>1309</v>
      </c>
      <c r="D9" s="35" t="s">
        <v>1310</v>
      </c>
      <c r="E9" s="35">
        <v>194.04</v>
      </c>
      <c r="F9" s="34">
        <v>43227</v>
      </c>
    </row>
    <row r="10" spans="1:6" ht="15.75" x14ac:dyDescent="0.25">
      <c r="A10" s="35">
        <v>528430</v>
      </c>
      <c r="B10" s="35" t="s">
        <v>1311</v>
      </c>
      <c r="C10" s="35" t="s">
        <v>1158</v>
      </c>
      <c r="D10" s="35" t="s">
        <v>1312</v>
      </c>
      <c r="E10" s="35">
        <v>2000</v>
      </c>
      <c r="F10" s="34">
        <v>43234</v>
      </c>
    </row>
    <row r="11" spans="1:6" ht="15.75" x14ac:dyDescent="0.25">
      <c r="A11" s="35">
        <v>487110</v>
      </c>
      <c r="B11" s="35" t="s">
        <v>36</v>
      </c>
      <c r="C11" s="35" t="s">
        <v>1313</v>
      </c>
      <c r="D11" s="35" t="s">
        <v>1314</v>
      </c>
      <c r="E11" s="35">
        <v>8334.76</v>
      </c>
      <c r="F11" s="34">
        <v>43235</v>
      </c>
    </row>
    <row r="12" spans="1:6" ht="15.75" x14ac:dyDescent="0.25">
      <c r="A12" s="35">
        <v>531110</v>
      </c>
      <c r="B12" s="35" t="s">
        <v>27</v>
      </c>
      <c r="C12" s="35" t="s">
        <v>142</v>
      </c>
      <c r="D12" s="35">
        <v>2000004467</v>
      </c>
      <c r="E12" s="35">
        <v>-29</v>
      </c>
      <c r="F12" s="34">
        <v>43236</v>
      </c>
    </row>
    <row r="13" spans="1:6" ht="15.75" x14ac:dyDescent="0.25">
      <c r="A13" s="35">
        <v>558979</v>
      </c>
      <c r="B13" s="35" t="s">
        <v>150</v>
      </c>
      <c r="C13" s="35" t="s">
        <v>311</v>
      </c>
      <c r="D13" s="35" t="s">
        <v>1315</v>
      </c>
      <c r="E13" s="35">
        <v>125</v>
      </c>
      <c r="F13" s="34">
        <v>43238</v>
      </c>
    </row>
    <row r="14" spans="1:6" ht="15.75" x14ac:dyDescent="0.25">
      <c r="A14" s="35">
        <v>558979</v>
      </c>
      <c r="B14" s="35" t="s">
        <v>150</v>
      </c>
      <c r="C14" s="35" t="s">
        <v>1149</v>
      </c>
      <c r="D14" s="35" t="s">
        <v>1316</v>
      </c>
      <c r="E14" s="35">
        <v>125</v>
      </c>
      <c r="F14" s="34">
        <v>43238</v>
      </c>
    </row>
    <row r="15" spans="1:6" ht="15.75" x14ac:dyDescent="0.25">
      <c r="A15" s="35">
        <v>558979</v>
      </c>
      <c r="B15" s="35" t="s">
        <v>150</v>
      </c>
      <c r="C15" s="35" t="s">
        <v>1001</v>
      </c>
      <c r="D15" s="35" t="s">
        <v>1317</v>
      </c>
      <c r="E15" s="35">
        <v>125</v>
      </c>
      <c r="F15" s="34">
        <v>43238</v>
      </c>
    </row>
    <row r="16" spans="1:6" ht="15.75" x14ac:dyDescent="0.25">
      <c r="A16" s="35">
        <v>558979</v>
      </c>
      <c r="B16" s="35" t="s">
        <v>150</v>
      </c>
      <c r="C16" s="35" t="s">
        <v>323</v>
      </c>
      <c r="D16" s="35" t="s">
        <v>1318</v>
      </c>
      <c r="E16" s="35">
        <v>125</v>
      </c>
      <c r="F16" s="34">
        <v>43238</v>
      </c>
    </row>
    <row r="17" spans="1:6" ht="15.75" x14ac:dyDescent="0.25">
      <c r="A17" s="35">
        <v>558979</v>
      </c>
      <c r="B17" s="35" t="s">
        <v>150</v>
      </c>
      <c r="C17" s="35" t="s">
        <v>309</v>
      </c>
      <c r="D17" s="35" t="s">
        <v>1319</v>
      </c>
      <c r="E17" s="35">
        <v>125</v>
      </c>
      <c r="F17" s="34">
        <v>43238</v>
      </c>
    </row>
    <row r="18" spans="1:6" ht="15.75" x14ac:dyDescent="0.25">
      <c r="A18" s="35">
        <v>558979</v>
      </c>
      <c r="B18" s="35" t="s">
        <v>150</v>
      </c>
      <c r="C18" s="35" t="s">
        <v>961</v>
      </c>
      <c r="D18" s="35" t="s">
        <v>1320</v>
      </c>
      <c r="E18" s="35">
        <v>125</v>
      </c>
      <c r="F18" s="34">
        <v>43238</v>
      </c>
    </row>
    <row r="19" spans="1:6" ht="15.75" x14ac:dyDescent="0.25">
      <c r="A19" s="35">
        <v>558979</v>
      </c>
      <c r="B19" s="35" t="s">
        <v>150</v>
      </c>
      <c r="C19" s="35" t="s">
        <v>949</v>
      </c>
      <c r="D19" s="35" t="s">
        <v>1321</v>
      </c>
      <c r="E19" s="35">
        <v>125</v>
      </c>
      <c r="F19" s="34">
        <v>43238</v>
      </c>
    </row>
    <row r="20" spans="1:6" ht="15.75" x14ac:dyDescent="0.25">
      <c r="A20" s="35">
        <v>558979</v>
      </c>
      <c r="B20" s="35" t="s">
        <v>150</v>
      </c>
      <c r="C20" s="35" t="s">
        <v>927</v>
      </c>
      <c r="D20" s="35" t="s">
        <v>1322</v>
      </c>
      <c r="E20" s="35">
        <v>125</v>
      </c>
      <c r="F20" s="34">
        <v>43238</v>
      </c>
    </row>
    <row r="21" spans="1:6" ht="15.75" x14ac:dyDescent="0.25">
      <c r="A21" s="35">
        <v>558979</v>
      </c>
      <c r="B21" s="35" t="s">
        <v>150</v>
      </c>
      <c r="C21" s="35" t="s">
        <v>947</v>
      </c>
      <c r="D21" s="35" t="s">
        <v>1323</v>
      </c>
      <c r="E21" s="35">
        <v>125</v>
      </c>
      <c r="F21" s="34">
        <v>43238</v>
      </c>
    </row>
    <row r="22" spans="1:6" ht="15.75" x14ac:dyDescent="0.25">
      <c r="A22" s="35">
        <v>558979</v>
      </c>
      <c r="B22" s="35" t="s">
        <v>150</v>
      </c>
      <c r="C22" s="35" t="s">
        <v>952</v>
      </c>
      <c r="D22" s="35" t="s">
        <v>1324</v>
      </c>
      <c r="E22" s="35">
        <v>125</v>
      </c>
      <c r="F22" s="34">
        <v>43238</v>
      </c>
    </row>
    <row r="23" spans="1:6" ht="15.75" x14ac:dyDescent="0.25">
      <c r="A23" s="35">
        <v>558979</v>
      </c>
      <c r="B23" s="35" t="s">
        <v>150</v>
      </c>
      <c r="C23" s="35" t="s">
        <v>942</v>
      </c>
      <c r="D23" s="35" t="s">
        <v>1325</v>
      </c>
      <c r="E23" s="35">
        <v>125</v>
      </c>
      <c r="F23" s="34">
        <v>43238</v>
      </c>
    </row>
    <row r="24" spans="1:6" ht="15.75" x14ac:dyDescent="0.25">
      <c r="A24" s="35">
        <v>558979</v>
      </c>
      <c r="B24" s="35" t="s">
        <v>150</v>
      </c>
      <c r="C24" s="35" t="s">
        <v>956</v>
      </c>
      <c r="D24" s="35" t="s">
        <v>1326</v>
      </c>
      <c r="E24" s="35">
        <v>125</v>
      </c>
      <c r="F24" s="34">
        <v>43238</v>
      </c>
    </row>
    <row r="25" spans="1:6" ht="15.75" x14ac:dyDescent="0.25">
      <c r="A25" s="35">
        <v>558979</v>
      </c>
      <c r="B25" s="35" t="s">
        <v>150</v>
      </c>
      <c r="C25" s="35" t="s">
        <v>1151</v>
      </c>
      <c r="D25" s="35" t="s">
        <v>1327</v>
      </c>
      <c r="E25" s="35">
        <v>156.25</v>
      </c>
      <c r="F25" s="34">
        <v>43238</v>
      </c>
    </row>
    <row r="26" spans="1:6" ht="15.75" x14ac:dyDescent="0.25">
      <c r="A26" s="35">
        <v>558979</v>
      </c>
      <c r="B26" s="35" t="s">
        <v>150</v>
      </c>
      <c r="C26" s="35" t="s">
        <v>1216</v>
      </c>
      <c r="D26" s="35" t="s">
        <v>1328</v>
      </c>
      <c r="E26" s="35">
        <v>166.67</v>
      </c>
      <c r="F26" s="34">
        <v>43238</v>
      </c>
    </row>
    <row r="27" spans="1:6" ht="15.75" x14ac:dyDescent="0.25">
      <c r="A27" s="35">
        <v>558979</v>
      </c>
      <c r="B27" s="35" t="s">
        <v>150</v>
      </c>
      <c r="C27" s="35" t="s">
        <v>783</v>
      </c>
      <c r="D27" s="35" t="s">
        <v>1329</v>
      </c>
      <c r="E27" s="35">
        <v>200</v>
      </c>
      <c r="F27" s="34">
        <v>43238</v>
      </c>
    </row>
    <row r="28" spans="1:6" ht="15.75" x14ac:dyDescent="0.25">
      <c r="A28" s="35">
        <v>558979</v>
      </c>
      <c r="B28" s="35" t="s">
        <v>150</v>
      </c>
      <c r="C28" s="35" t="s">
        <v>853</v>
      </c>
      <c r="D28" s="35" t="s">
        <v>1330</v>
      </c>
      <c r="E28" s="35">
        <v>200</v>
      </c>
      <c r="F28" s="34">
        <v>43238</v>
      </c>
    </row>
    <row r="29" spans="1:6" ht="15.75" x14ac:dyDescent="0.25">
      <c r="A29" s="35">
        <v>558979</v>
      </c>
      <c r="B29" s="35" t="s">
        <v>150</v>
      </c>
      <c r="C29" s="35" t="s">
        <v>767</v>
      </c>
      <c r="D29" s="35" t="s">
        <v>1331</v>
      </c>
      <c r="E29" s="35">
        <v>200</v>
      </c>
      <c r="F29" s="34">
        <v>43238</v>
      </c>
    </row>
    <row r="30" spans="1:6" ht="15.75" x14ac:dyDescent="0.25">
      <c r="A30" s="35">
        <v>558979</v>
      </c>
      <c r="B30" s="35" t="s">
        <v>150</v>
      </c>
      <c r="C30" s="35" t="s">
        <v>1223</v>
      </c>
      <c r="D30" s="35" t="s">
        <v>1332</v>
      </c>
      <c r="E30" s="35">
        <v>300</v>
      </c>
      <c r="F30" s="34">
        <v>43238</v>
      </c>
    </row>
    <row r="31" spans="1:6" ht="15.75" x14ac:dyDescent="0.25">
      <c r="A31" s="35">
        <v>558979</v>
      </c>
      <c r="B31" s="35" t="s">
        <v>150</v>
      </c>
      <c r="C31" s="35" t="s">
        <v>342</v>
      </c>
      <c r="D31" s="35" t="s">
        <v>1333</v>
      </c>
      <c r="E31" s="35">
        <v>400</v>
      </c>
      <c r="F31" s="34">
        <v>43238</v>
      </c>
    </row>
    <row r="32" spans="1:6" ht="15.75" x14ac:dyDescent="0.25">
      <c r="A32" s="35">
        <v>526741</v>
      </c>
      <c r="B32" s="35" t="s">
        <v>23</v>
      </c>
      <c r="C32" s="35" t="s">
        <v>1334</v>
      </c>
      <c r="D32" s="35" t="s">
        <v>1335</v>
      </c>
      <c r="E32" s="35">
        <v>4754.1000000000004</v>
      </c>
      <c r="F32" s="34">
        <v>43241</v>
      </c>
    </row>
    <row r="33" spans="1:6" ht="15.75" x14ac:dyDescent="0.25">
      <c r="A33" s="35">
        <v>558921</v>
      </c>
      <c r="B33" s="35" t="s">
        <v>262</v>
      </c>
      <c r="C33" s="35" t="s">
        <v>1336</v>
      </c>
      <c r="D33" s="35" t="s">
        <v>1337</v>
      </c>
      <c r="E33" s="35">
        <v>246.5</v>
      </c>
      <c r="F33" s="34">
        <v>43243</v>
      </c>
    </row>
    <row r="34" spans="1:6" ht="15.75" x14ac:dyDescent="0.25">
      <c r="A34" s="35">
        <v>558921</v>
      </c>
      <c r="B34" s="35" t="s">
        <v>262</v>
      </c>
      <c r="C34" s="35" t="s">
        <v>713</v>
      </c>
      <c r="D34" s="35" t="s">
        <v>1338</v>
      </c>
      <c r="E34" s="35">
        <v>232.75</v>
      </c>
      <c r="F34" s="34">
        <v>43249</v>
      </c>
    </row>
    <row r="35" spans="1:6" ht="15.75" x14ac:dyDescent="0.25">
      <c r="A35" s="35">
        <v>526712</v>
      </c>
      <c r="B35" s="35" t="s">
        <v>14</v>
      </c>
      <c r="C35" s="35" t="s">
        <v>309</v>
      </c>
      <c r="D35" s="35" t="s">
        <v>1339</v>
      </c>
      <c r="E35" s="35">
        <v>38.26</v>
      </c>
      <c r="F35" s="34">
        <v>43250</v>
      </c>
    </row>
    <row r="36" spans="1:6" ht="15.75" x14ac:dyDescent="0.25">
      <c r="A36" s="35">
        <v>526712</v>
      </c>
      <c r="B36" s="35" t="s">
        <v>14</v>
      </c>
      <c r="C36" s="35" t="s">
        <v>413</v>
      </c>
      <c r="D36" s="35" t="s">
        <v>1340</v>
      </c>
      <c r="E36" s="35">
        <v>68.64</v>
      </c>
      <c r="F36" s="34">
        <v>43250</v>
      </c>
    </row>
    <row r="37" spans="1:6" ht="15.75" x14ac:dyDescent="0.25">
      <c r="A37" s="35">
        <v>526712</v>
      </c>
      <c r="B37" s="35" t="s">
        <v>14</v>
      </c>
      <c r="C37" s="35" t="s">
        <v>789</v>
      </c>
      <c r="D37" s="35" t="s">
        <v>1341</v>
      </c>
      <c r="E37" s="35">
        <v>110.88</v>
      </c>
      <c r="F37" s="34">
        <v>43250</v>
      </c>
    </row>
    <row r="38" spans="1:6" ht="15.75" x14ac:dyDescent="0.25">
      <c r="A38" s="35">
        <v>515130</v>
      </c>
      <c r="B38" s="35" t="s">
        <v>10</v>
      </c>
      <c r="C38" s="35" t="s">
        <v>7</v>
      </c>
      <c r="D38" s="35" t="s">
        <v>1342</v>
      </c>
      <c r="E38" s="35">
        <v>74.31</v>
      </c>
      <c r="F38" s="34">
        <v>43251</v>
      </c>
    </row>
    <row r="39" spans="1:6" ht="15.75" x14ac:dyDescent="0.25">
      <c r="A39" s="35">
        <v>515120</v>
      </c>
      <c r="B39" s="35" t="s">
        <v>9</v>
      </c>
      <c r="C39" s="35" t="s">
        <v>7</v>
      </c>
      <c r="D39" s="35" t="s">
        <v>1342</v>
      </c>
      <c r="E39" s="35">
        <v>317.73</v>
      </c>
      <c r="F39" s="34">
        <v>43251</v>
      </c>
    </row>
    <row r="40" spans="1:6" ht="15.75" x14ac:dyDescent="0.25">
      <c r="A40" s="35">
        <v>515420</v>
      </c>
      <c r="B40" s="35" t="s">
        <v>12</v>
      </c>
      <c r="C40" s="35" t="s">
        <v>7</v>
      </c>
      <c r="D40" s="35" t="s">
        <v>1342</v>
      </c>
      <c r="E40" s="35">
        <v>320.32</v>
      </c>
      <c r="F40" s="34">
        <v>43251</v>
      </c>
    </row>
    <row r="41" spans="1:6" ht="15.75" x14ac:dyDescent="0.25">
      <c r="A41" s="35">
        <v>515410</v>
      </c>
      <c r="B41" s="35" t="s">
        <v>11</v>
      </c>
      <c r="C41" s="35" t="s">
        <v>7</v>
      </c>
      <c r="D41" s="35" t="s">
        <v>1342</v>
      </c>
      <c r="E41" s="35">
        <v>353.95</v>
      </c>
      <c r="F41" s="34">
        <v>43251</v>
      </c>
    </row>
    <row r="42" spans="1:6" ht="15.75" x14ac:dyDescent="0.25">
      <c r="A42" s="35">
        <v>515530</v>
      </c>
      <c r="B42" s="35" t="s">
        <v>13</v>
      </c>
      <c r="C42" s="35" t="s">
        <v>7</v>
      </c>
      <c r="D42" s="35" t="s">
        <v>1342</v>
      </c>
      <c r="E42" s="35">
        <v>498.68</v>
      </c>
      <c r="F42" s="34">
        <v>43251</v>
      </c>
    </row>
    <row r="43" spans="1:6" ht="15.75" x14ac:dyDescent="0.25">
      <c r="A43" s="35">
        <v>511120</v>
      </c>
      <c r="B43" s="35" t="s">
        <v>6</v>
      </c>
      <c r="C43" s="35" t="s">
        <v>7</v>
      </c>
      <c r="D43" s="35" t="s">
        <v>1342</v>
      </c>
      <c r="E43" s="35">
        <v>5174.7299999999996</v>
      </c>
      <c r="F43" s="34">
        <v>43251</v>
      </c>
    </row>
  </sheetData>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0AA2D-7C19-458C-829F-2D6B4B7ECEA0}">
  <dimension ref="A1:F68"/>
  <sheetViews>
    <sheetView workbookViewId="0">
      <selection activeCell="D14" sqref="D14"/>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526712</v>
      </c>
      <c r="B2" s="35" t="s">
        <v>14</v>
      </c>
      <c r="C2" s="35" t="s">
        <v>956</v>
      </c>
      <c r="D2" s="35" t="s">
        <v>1241</v>
      </c>
      <c r="E2" s="35">
        <v>34.979999999999997</v>
      </c>
      <c r="F2" s="34">
        <v>43191</v>
      </c>
    </row>
    <row r="3" spans="1:6" ht="15.75" x14ac:dyDescent="0.25">
      <c r="A3" s="35">
        <v>526712</v>
      </c>
      <c r="B3" s="35" t="s">
        <v>14</v>
      </c>
      <c r="C3" s="35" t="s">
        <v>232</v>
      </c>
      <c r="D3" s="35" t="s">
        <v>1242</v>
      </c>
      <c r="E3" s="35">
        <v>89.1</v>
      </c>
      <c r="F3" s="34">
        <v>43191</v>
      </c>
    </row>
    <row r="4" spans="1:6" ht="15.75" x14ac:dyDescent="0.25">
      <c r="A4" s="35">
        <v>526712</v>
      </c>
      <c r="B4" s="35" t="s">
        <v>14</v>
      </c>
      <c r="C4" s="35" t="s">
        <v>947</v>
      </c>
      <c r="D4" s="35" t="s">
        <v>1243</v>
      </c>
      <c r="E4" s="35">
        <v>144.54</v>
      </c>
      <c r="F4" s="34">
        <v>43191</v>
      </c>
    </row>
    <row r="5" spans="1:6" ht="15.75" x14ac:dyDescent="0.25">
      <c r="A5" s="35">
        <v>526712</v>
      </c>
      <c r="B5" s="35" t="s">
        <v>14</v>
      </c>
      <c r="C5" s="35" t="s">
        <v>767</v>
      </c>
      <c r="D5" s="35" t="s">
        <v>1244</v>
      </c>
      <c r="E5" s="35">
        <v>178.2</v>
      </c>
      <c r="F5" s="34">
        <v>43191</v>
      </c>
    </row>
    <row r="6" spans="1:6" ht="15.75" x14ac:dyDescent="0.25">
      <c r="A6" s="35">
        <v>526712</v>
      </c>
      <c r="B6" s="35" t="s">
        <v>14</v>
      </c>
      <c r="C6" s="35" t="s">
        <v>309</v>
      </c>
      <c r="D6" s="35" t="s">
        <v>1245</v>
      </c>
      <c r="E6" s="35">
        <v>180.84</v>
      </c>
      <c r="F6" s="34">
        <v>43191</v>
      </c>
    </row>
    <row r="7" spans="1:6" ht="15.75" x14ac:dyDescent="0.25">
      <c r="A7" s="35">
        <v>526712</v>
      </c>
      <c r="B7" s="35" t="s">
        <v>14</v>
      </c>
      <c r="C7" s="35" t="s">
        <v>342</v>
      </c>
      <c r="D7" s="35" t="s">
        <v>1246</v>
      </c>
      <c r="E7" s="35">
        <v>204.6</v>
      </c>
      <c r="F7" s="34">
        <v>43191</v>
      </c>
    </row>
    <row r="8" spans="1:6" ht="15.75" x14ac:dyDescent="0.25">
      <c r="A8" s="35">
        <v>526712</v>
      </c>
      <c r="B8" s="35" t="s">
        <v>14</v>
      </c>
      <c r="C8" s="35" t="s">
        <v>1149</v>
      </c>
      <c r="D8" s="35" t="s">
        <v>1247</v>
      </c>
      <c r="E8" s="35">
        <v>204.6</v>
      </c>
      <c r="F8" s="34">
        <v>43191</v>
      </c>
    </row>
    <row r="9" spans="1:6" ht="15.75" x14ac:dyDescent="0.25">
      <c r="A9" s="35">
        <v>526712</v>
      </c>
      <c r="B9" s="35" t="s">
        <v>14</v>
      </c>
      <c r="C9" s="35" t="s">
        <v>773</v>
      </c>
      <c r="D9" s="35" t="s">
        <v>1248</v>
      </c>
      <c r="E9" s="35">
        <v>249.48</v>
      </c>
      <c r="F9" s="34">
        <v>43191</v>
      </c>
    </row>
    <row r="10" spans="1:6" ht="15.75" x14ac:dyDescent="0.25">
      <c r="A10" s="35">
        <v>527510</v>
      </c>
      <c r="B10" s="35" t="s">
        <v>671</v>
      </c>
      <c r="C10" s="35" t="s">
        <v>1249</v>
      </c>
      <c r="D10" s="35" t="s">
        <v>1250</v>
      </c>
      <c r="E10" s="35">
        <v>612.5</v>
      </c>
      <c r="F10" s="34">
        <v>43191</v>
      </c>
    </row>
    <row r="11" spans="1:6" ht="15.75" x14ac:dyDescent="0.25">
      <c r="A11" s="35">
        <v>587890</v>
      </c>
      <c r="B11" s="35" t="s">
        <v>32</v>
      </c>
      <c r="C11" s="35" t="s">
        <v>348</v>
      </c>
      <c r="D11" s="35" t="s">
        <v>1251</v>
      </c>
      <c r="E11" s="35">
        <v>102.44</v>
      </c>
      <c r="F11" s="34">
        <v>43192</v>
      </c>
    </row>
    <row r="12" spans="1:6" ht="15.75" x14ac:dyDescent="0.25">
      <c r="A12" s="35">
        <v>526712</v>
      </c>
      <c r="B12" s="35" t="s">
        <v>14</v>
      </c>
      <c r="C12" s="35" t="s">
        <v>1252</v>
      </c>
      <c r="D12" s="35" t="s">
        <v>1253</v>
      </c>
      <c r="E12" s="35">
        <v>178.2</v>
      </c>
      <c r="F12" s="34">
        <v>43192</v>
      </c>
    </row>
    <row r="13" spans="1:6" ht="15.75" x14ac:dyDescent="0.25">
      <c r="A13" s="35">
        <v>526713</v>
      </c>
      <c r="B13" s="35" t="s">
        <v>757</v>
      </c>
      <c r="C13" s="35" t="s">
        <v>232</v>
      </c>
      <c r="D13" s="35" t="s">
        <v>1254</v>
      </c>
      <c r="E13" s="35">
        <v>28</v>
      </c>
      <c r="F13" s="34">
        <v>43194</v>
      </c>
    </row>
    <row r="14" spans="1:6" ht="15.75" x14ac:dyDescent="0.25">
      <c r="A14" s="35">
        <v>526742</v>
      </c>
      <c r="B14" s="35" t="s">
        <v>26</v>
      </c>
      <c r="C14" s="35" t="s">
        <v>232</v>
      </c>
      <c r="D14" s="35" t="s">
        <v>1254</v>
      </c>
      <c r="E14" s="35">
        <v>43.6</v>
      </c>
      <c r="F14" s="34">
        <v>43194</v>
      </c>
    </row>
    <row r="15" spans="1:6" ht="15.75" x14ac:dyDescent="0.25">
      <c r="A15" s="35">
        <v>526712</v>
      </c>
      <c r="B15" s="35" t="s">
        <v>14</v>
      </c>
      <c r="C15" s="35" t="s">
        <v>232</v>
      </c>
      <c r="D15" s="35" t="s">
        <v>1254</v>
      </c>
      <c r="E15" s="35">
        <v>118.14</v>
      </c>
      <c r="F15" s="34">
        <v>43194</v>
      </c>
    </row>
    <row r="16" spans="1:6" ht="15.75" x14ac:dyDescent="0.25">
      <c r="A16" s="35">
        <v>527510</v>
      </c>
      <c r="B16" s="35" t="s">
        <v>671</v>
      </c>
      <c r="C16" s="35" t="s">
        <v>1249</v>
      </c>
      <c r="D16" s="35" t="s">
        <v>1255</v>
      </c>
      <c r="E16" s="35">
        <v>849</v>
      </c>
      <c r="F16" s="34">
        <v>43194</v>
      </c>
    </row>
    <row r="17" spans="1:6" ht="15.75" x14ac:dyDescent="0.25">
      <c r="A17" s="35">
        <v>526741</v>
      </c>
      <c r="B17" s="35" t="s">
        <v>23</v>
      </c>
      <c r="C17" s="35" t="s">
        <v>812</v>
      </c>
      <c r="D17" s="35" t="s">
        <v>1227</v>
      </c>
      <c r="E17" s="35">
        <v>-84.8</v>
      </c>
      <c r="F17" s="34">
        <v>43196</v>
      </c>
    </row>
    <row r="18" spans="1:6" ht="15.75" x14ac:dyDescent="0.25">
      <c r="A18" s="35">
        <v>526741</v>
      </c>
      <c r="B18" s="35" t="s">
        <v>23</v>
      </c>
      <c r="C18" s="35" t="s">
        <v>812</v>
      </c>
      <c r="D18" s="35" t="s">
        <v>1227</v>
      </c>
      <c r="E18" s="35">
        <v>84.8</v>
      </c>
      <c r="F18" s="34">
        <v>43196</v>
      </c>
    </row>
    <row r="19" spans="1:6" ht="15.75" x14ac:dyDescent="0.25">
      <c r="A19" s="35">
        <v>526713</v>
      </c>
      <c r="B19" s="35" t="s">
        <v>757</v>
      </c>
      <c r="C19" s="35" t="s">
        <v>232</v>
      </c>
      <c r="D19" s="35" t="s">
        <v>1256</v>
      </c>
      <c r="E19" s="35">
        <v>98.69</v>
      </c>
      <c r="F19" s="34">
        <v>43196</v>
      </c>
    </row>
    <row r="20" spans="1:6" ht="15.75" x14ac:dyDescent="0.25">
      <c r="A20" s="35">
        <v>526712</v>
      </c>
      <c r="B20" s="35" t="s">
        <v>14</v>
      </c>
      <c r="C20" s="35" t="s">
        <v>232</v>
      </c>
      <c r="D20" s="35" t="s">
        <v>1256</v>
      </c>
      <c r="E20" s="35">
        <v>223</v>
      </c>
      <c r="F20" s="34">
        <v>43196</v>
      </c>
    </row>
    <row r="21" spans="1:6" ht="15.75" x14ac:dyDescent="0.25">
      <c r="A21" s="35">
        <v>526741</v>
      </c>
      <c r="B21" s="35" t="s">
        <v>23</v>
      </c>
      <c r="C21" s="35" t="s">
        <v>1257</v>
      </c>
      <c r="D21" s="35" t="s">
        <v>1258</v>
      </c>
      <c r="E21" s="35">
        <v>5107.1099999999997</v>
      </c>
      <c r="F21" s="34">
        <v>43200</v>
      </c>
    </row>
    <row r="22" spans="1:6" ht="15.75" x14ac:dyDescent="0.25">
      <c r="A22" s="35">
        <v>558979</v>
      </c>
      <c r="B22" s="35" t="s">
        <v>150</v>
      </c>
      <c r="C22" s="35" t="s">
        <v>961</v>
      </c>
      <c r="D22" s="35" t="s">
        <v>1259</v>
      </c>
      <c r="E22" s="35">
        <v>125</v>
      </c>
      <c r="F22" s="34">
        <v>43203</v>
      </c>
    </row>
    <row r="23" spans="1:6" ht="15.75" x14ac:dyDescent="0.25">
      <c r="A23" s="35">
        <v>558979</v>
      </c>
      <c r="B23" s="35" t="s">
        <v>150</v>
      </c>
      <c r="C23" s="35" t="s">
        <v>952</v>
      </c>
      <c r="D23" s="35" t="s">
        <v>1260</v>
      </c>
      <c r="E23" s="35">
        <v>125</v>
      </c>
      <c r="F23" s="34">
        <v>43203</v>
      </c>
    </row>
    <row r="24" spans="1:6" ht="15.75" x14ac:dyDescent="0.25">
      <c r="A24" s="35">
        <v>558979</v>
      </c>
      <c r="B24" s="35" t="s">
        <v>150</v>
      </c>
      <c r="C24" s="35" t="s">
        <v>323</v>
      </c>
      <c r="D24" s="35" t="s">
        <v>1261</v>
      </c>
      <c r="E24" s="35">
        <v>125</v>
      </c>
      <c r="F24" s="34">
        <v>43203</v>
      </c>
    </row>
    <row r="25" spans="1:6" ht="15.75" x14ac:dyDescent="0.25">
      <c r="A25" s="35">
        <v>558979</v>
      </c>
      <c r="B25" s="35" t="s">
        <v>150</v>
      </c>
      <c r="C25" s="35" t="s">
        <v>311</v>
      </c>
      <c r="D25" s="35" t="s">
        <v>1262</v>
      </c>
      <c r="E25" s="35">
        <v>125</v>
      </c>
      <c r="F25" s="34">
        <v>43203</v>
      </c>
    </row>
    <row r="26" spans="1:6" ht="15.75" x14ac:dyDescent="0.25">
      <c r="A26" s="35">
        <v>558979</v>
      </c>
      <c r="B26" s="35" t="s">
        <v>150</v>
      </c>
      <c r="C26" s="35" t="s">
        <v>947</v>
      </c>
      <c r="D26" s="35" t="s">
        <v>1263</v>
      </c>
      <c r="E26" s="35">
        <v>125</v>
      </c>
      <c r="F26" s="34">
        <v>43203</v>
      </c>
    </row>
    <row r="27" spans="1:6" ht="15.75" x14ac:dyDescent="0.25">
      <c r="A27" s="35">
        <v>558979</v>
      </c>
      <c r="B27" s="35" t="s">
        <v>150</v>
      </c>
      <c r="C27" s="35" t="s">
        <v>1001</v>
      </c>
      <c r="D27" s="35" t="s">
        <v>1264</v>
      </c>
      <c r="E27" s="35">
        <v>125</v>
      </c>
      <c r="F27" s="34">
        <v>43203</v>
      </c>
    </row>
    <row r="28" spans="1:6" ht="15.75" x14ac:dyDescent="0.25">
      <c r="A28" s="35">
        <v>558979</v>
      </c>
      <c r="B28" s="35" t="s">
        <v>150</v>
      </c>
      <c r="C28" s="35" t="s">
        <v>1149</v>
      </c>
      <c r="D28" s="35" t="s">
        <v>1265</v>
      </c>
      <c r="E28" s="35">
        <v>125</v>
      </c>
      <c r="F28" s="34">
        <v>43203</v>
      </c>
    </row>
    <row r="29" spans="1:6" ht="15.75" x14ac:dyDescent="0.25">
      <c r="A29" s="35">
        <v>558979</v>
      </c>
      <c r="B29" s="35" t="s">
        <v>150</v>
      </c>
      <c r="C29" s="35" t="s">
        <v>927</v>
      </c>
      <c r="D29" s="35" t="s">
        <v>1266</v>
      </c>
      <c r="E29" s="35">
        <v>125</v>
      </c>
      <c r="F29" s="34">
        <v>43203</v>
      </c>
    </row>
    <row r="30" spans="1:6" ht="15.75" x14ac:dyDescent="0.25">
      <c r="A30" s="35">
        <v>558979</v>
      </c>
      <c r="B30" s="35" t="s">
        <v>150</v>
      </c>
      <c r="C30" s="35" t="s">
        <v>942</v>
      </c>
      <c r="D30" s="35" t="s">
        <v>1267</v>
      </c>
      <c r="E30" s="35">
        <v>125</v>
      </c>
      <c r="F30" s="34">
        <v>43203</v>
      </c>
    </row>
    <row r="31" spans="1:6" ht="15.75" x14ac:dyDescent="0.25">
      <c r="A31" s="35">
        <v>558979</v>
      </c>
      <c r="B31" s="35" t="s">
        <v>150</v>
      </c>
      <c r="C31" s="35" t="s">
        <v>309</v>
      </c>
      <c r="D31" s="35" t="s">
        <v>1268</v>
      </c>
      <c r="E31" s="35">
        <v>125</v>
      </c>
      <c r="F31" s="34">
        <v>43203</v>
      </c>
    </row>
    <row r="32" spans="1:6" ht="15.75" x14ac:dyDescent="0.25">
      <c r="A32" s="35">
        <v>558979</v>
      </c>
      <c r="B32" s="35" t="s">
        <v>150</v>
      </c>
      <c r="C32" s="35" t="s">
        <v>956</v>
      </c>
      <c r="D32" s="35" t="s">
        <v>1269</v>
      </c>
      <c r="E32" s="35">
        <v>125</v>
      </c>
      <c r="F32" s="34">
        <v>43203</v>
      </c>
    </row>
    <row r="33" spans="1:6" ht="15.75" x14ac:dyDescent="0.25">
      <c r="A33" s="35">
        <v>558979</v>
      </c>
      <c r="B33" s="35" t="s">
        <v>150</v>
      </c>
      <c r="C33" s="35" t="s">
        <v>949</v>
      </c>
      <c r="D33" s="35" t="s">
        <v>1270</v>
      </c>
      <c r="E33" s="35">
        <v>125</v>
      </c>
      <c r="F33" s="34">
        <v>43203</v>
      </c>
    </row>
    <row r="34" spans="1:6" ht="15.75" x14ac:dyDescent="0.25">
      <c r="A34" s="35">
        <v>558979</v>
      </c>
      <c r="B34" s="35" t="s">
        <v>150</v>
      </c>
      <c r="C34" s="35" t="s">
        <v>1062</v>
      </c>
      <c r="D34" s="35" t="s">
        <v>1271</v>
      </c>
      <c r="E34" s="35">
        <v>150</v>
      </c>
      <c r="F34" s="34">
        <v>43203</v>
      </c>
    </row>
    <row r="35" spans="1:6" ht="15.75" x14ac:dyDescent="0.25">
      <c r="A35" s="35">
        <v>558979</v>
      </c>
      <c r="B35" s="35" t="s">
        <v>150</v>
      </c>
      <c r="C35" s="35" t="s">
        <v>1151</v>
      </c>
      <c r="D35" s="35" t="s">
        <v>1272</v>
      </c>
      <c r="E35" s="35">
        <v>156.25</v>
      </c>
      <c r="F35" s="34">
        <v>43203</v>
      </c>
    </row>
    <row r="36" spans="1:6" ht="15.75" x14ac:dyDescent="0.25">
      <c r="A36" s="35">
        <v>558979</v>
      </c>
      <c r="B36" s="35" t="s">
        <v>150</v>
      </c>
      <c r="C36" s="35" t="s">
        <v>1216</v>
      </c>
      <c r="D36" s="35" t="s">
        <v>1273</v>
      </c>
      <c r="E36" s="35">
        <v>166.67</v>
      </c>
      <c r="F36" s="34">
        <v>43203</v>
      </c>
    </row>
    <row r="37" spans="1:6" ht="15.75" x14ac:dyDescent="0.25">
      <c r="A37" s="35">
        <v>558979</v>
      </c>
      <c r="B37" s="35" t="s">
        <v>150</v>
      </c>
      <c r="C37" s="35" t="s">
        <v>853</v>
      </c>
      <c r="D37" s="35" t="s">
        <v>1274</v>
      </c>
      <c r="E37" s="35">
        <v>200</v>
      </c>
      <c r="F37" s="34">
        <v>43203</v>
      </c>
    </row>
    <row r="38" spans="1:6" ht="15.75" x14ac:dyDescent="0.25">
      <c r="A38" s="35">
        <v>558979</v>
      </c>
      <c r="B38" s="35" t="s">
        <v>150</v>
      </c>
      <c r="C38" s="35" t="s">
        <v>783</v>
      </c>
      <c r="D38" s="35" t="s">
        <v>1275</v>
      </c>
      <c r="E38" s="35">
        <v>200</v>
      </c>
      <c r="F38" s="34">
        <v>43203</v>
      </c>
    </row>
    <row r="39" spans="1:6" ht="15.75" x14ac:dyDescent="0.25">
      <c r="A39" s="35">
        <v>558979</v>
      </c>
      <c r="B39" s="35" t="s">
        <v>150</v>
      </c>
      <c r="C39" s="35" t="s">
        <v>767</v>
      </c>
      <c r="D39" s="35" t="s">
        <v>1276</v>
      </c>
      <c r="E39" s="35">
        <v>200</v>
      </c>
      <c r="F39" s="34">
        <v>43203</v>
      </c>
    </row>
    <row r="40" spans="1:6" ht="15.75" x14ac:dyDescent="0.25">
      <c r="A40" s="35">
        <v>558979</v>
      </c>
      <c r="B40" s="35" t="s">
        <v>150</v>
      </c>
      <c r="C40" s="35" t="s">
        <v>781</v>
      </c>
      <c r="D40" s="35" t="s">
        <v>1277</v>
      </c>
      <c r="E40" s="35">
        <v>200</v>
      </c>
      <c r="F40" s="34">
        <v>43203</v>
      </c>
    </row>
    <row r="41" spans="1:6" ht="15.75" x14ac:dyDescent="0.25">
      <c r="A41" s="35">
        <v>558979</v>
      </c>
      <c r="B41" s="35" t="s">
        <v>150</v>
      </c>
      <c r="C41" s="35" t="s">
        <v>771</v>
      </c>
      <c r="D41" s="35" t="s">
        <v>1278</v>
      </c>
      <c r="E41" s="35">
        <v>200</v>
      </c>
      <c r="F41" s="34">
        <v>43203</v>
      </c>
    </row>
    <row r="42" spans="1:6" ht="15.75" x14ac:dyDescent="0.25">
      <c r="A42" s="35">
        <v>558979</v>
      </c>
      <c r="B42" s="35" t="s">
        <v>150</v>
      </c>
      <c r="C42" s="35" t="s">
        <v>1223</v>
      </c>
      <c r="D42" s="35" t="s">
        <v>1279</v>
      </c>
      <c r="E42" s="35">
        <v>300</v>
      </c>
      <c r="F42" s="34">
        <v>43203</v>
      </c>
    </row>
    <row r="43" spans="1:6" ht="15.75" x14ac:dyDescent="0.25">
      <c r="A43" s="35">
        <v>558979</v>
      </c>
      <c r="B43" s="35" t="s">
        <v>150</v>
      </c>
      <c r="C43" s="35" t="s">
        <v>342</v>
      </c>
      <c r="D43" s="35" t="s">
        <v>1280</v>
      </c>
      <c r="E43" s="35">
        <v>400</v>
      </c>
      <c r="F43" s="34">
        <v>43203</v>
      </c>
    </row>
    <row r="44" spans="1:6" ht="15.75" x14ac:dyDescent="0.25">
      <c r="A44" s="35">
        <v>558979</v>
      </c>
      <c r="B44" s="35" t="s">
        <v>150</v>
      </c>
      <c r="C44" s="35" t="s">
        <v>232</v>
      </c>
      <c r="D44" s="35" t="s">
        <v>1281</v>
      </c>
      <c r="E44" s="35">
        <v>650</v>
      </c>
      <c r="F44" s="34">
        <v>43203</v>
      </c>
    </row>
    <row r="45" spans="1:6" ht="15.75" x14ac:dyDescent="0.25">
      <c r="A45" s="35">
        <v>526210</v>
      </c>
      <c r="B45" s="35" t="s">
        <v>639</v>
      </c>
      <c r="C45" s="35" t="s">
        <v>1282</v>
      </c>
      <c r="D45" s="35" t="s">
        <v>1283</v>
      </c>
      <c r="E45" s="35">
        <v>25</v>
      </c>
      <c r="F45" s="34">
        <v>43207</v>
      </c>
    </row>
    <row r="46" spans="1:6" ht="15.75" x14ac:dyDescent="0.25">
      <c r="A46" s="35">
        <v>526220</v>
      </c>
      <c r="B46" s="35" t="s">
        <v>666</v>
      </c>
      <c r="C46" s="35" t="s">
        <v>1282</v>
      </c>
      <c r="D46" s="35" t="s">
        <v>1283</v>
      </c>
      <c r="E46" s="35">
        <v>59.46</v>
      </c>
      <c r="F46" s="34">
        <v>43207</v>
      </c>
    </row>
    <row r="47" spans="1:6" ht="15.75" x14ac:dyDescent="0.25">
      <c r="A47" s="35">
        <v>526240</v>
      </c>
      <c r="B47" s="35" t="s">
        <v>668</v>
      </c>
      <c r="C47" s="35" t="s">
        <v>1282</v>
      </c>
      <c r="D47" s="35" t="s">
        <v>1283</v>
      </c>
      <c r="E47" s="35">
        <v>61.6</v>
      </c>
      <c r="F47" s="34">
        <v>43207</v>
      </c>
    </row>
    <row r="48" spans="1:6" ht="15.75" x14ac:dyDescent="0.25">
      <c r="A48" s="35">
        <v>526250</v>
      </c>
      <c r="B48" s="35" t="s">
        <v>664</v>
      </c>
      <c r="C48" s="35" t="s">
        <v>1282</v>
      </c>
      <c r="D48" s="35" t="s">
        <v>1283</v>
      </c>
      <c r="E48" s="35">
        <v>82</v>
      </c>
      <c r="F48" s="34">
        <v>43207</v>
      </c>
    </row>
    <row r="49" spans="1:6" ht="15.75" x14ac:dyDescent="0.25">
      <c r="A49" s="35">
        <v>526712</v>
      </c>
      <c r="B49" s="35" t="s">
        <v>14</v>
      </c>
      <c r="C49" s="35" t="s">
        <v>1284</v>
      </c>
      <c r="D49" s="35" t="s">
        <v>1285</v>
      </c>
      <c r="E49" s="35">
        <v>27.25</v>
      </c>
      <c r="F49" s="34">
        <v>43213</v>
      </c>
    </row>
    <row r="50" spans="1:6" ht="15.75" x14ac:dyDescent="0.25">
      <c r="A50" s="35">
        <v>526712</v>
      </c>
      <c r="B50" s="35" t="s">
        <v>14</v>
      </c>
      <c r="C50" s="35" t="s">
        <v>288</v>
      </c>
      <c r="D50" s="35" t="s">
        <v>1286</v>
      </c>
      <c r="E50" s="35">
        <v>26.16</v>
      </c>
      <c r="F50" s="34">
        <v>43214</v>
      </c>
    </row>
    <row r="51" spans="1:6" ht="15.75" x14ac:dyDescent="0.25">
      <c r="A51" s="35">
        <v>526712</v>
      </c>
      <c r="B51" s="35" t="s">
        <v>14</v>
      </c>
      <c r="C51" s="35" t="s">
        <v>342</v>
      </c>
      <c r="D51" s="35" t="s">
        <v>1287</v>
      </c>
      <c r="E51" s="35">
        <v>42.9</v>
      </c>
      <c r="F51" s="34">
        <v>43214</v>
      </c>
    </row>
    <row r="52" spans="1:6" ht="15.75" x14ac:dyDescent="0.25">
      <c r="A52" s="35">
        <v>526712</v>
      </c>
      <c r="B52" s="35" t="s">
        <v>14</v>
      </c>
      <c r="C52" s="35" t="s">
        <v>771</v>
      </c>
      <c r="D52" s="35" t="s">
        <v>1288</v>
      </c>
      <c r="E52" s="35">
        <v>48.84</v>
      </c>
      <c r="F52" s="34">
        <v>43214</v>
      </c>
    </row>
    <row r="53" spans="1:6" ht="15.75" x14ac:dyDescent="0.25">
      <c r="A53" s="35">
        <v>526712</v>
      </c>
      <c r="B53" s="35" t="s">
        <v>14</v>
      </c>
      <c r="C53" s="35" t="s">
        <v>808</v>
      </c>
      <c r="D53" s="35" t="s">
        <v>1289</v>
      </c>
      <c r="E53" s="35">
        <v>66</v>
      </c>
      <c r="F53" s="34">
        <v>43214</v>
      </c>
    </row>
    <row r="54" spans="1:6" ht="15.75" x14ac:dyDescent="0.25">
      <c r="A54" s="35">
        <v>526712</v>
      </c>
      <c r="B54" s="35" t="s">
        <v>14</v>
      </c>
      <c r="C54" s="35" t="s">
        <v>1001</v>
      </c>
      <c r="D54" s="35" t="s">
        <v>1290</v>
      </c>
      <c r="E54" s="35">
        <v>67.98</v>
      </c>
      <c r="F54" s="34">
        <v>43214</v>
      </c>
    </row>
    <row r="55" spans="1:6" ht="15.75" x14ac:dyDescent="0.25">
      <c r="A55" s="35">
        <v>526712</v>
      </c>
      <c r="B55" s="35" t="s">
        <v>14</v>
      </c>
      <c r="C55" s="35" t="s">
        <v>413</v>
      </c>
      <c r="D55" s="35" t="s">
        <v>1291</v>
      </c>
      <c r="E55" s="35">
        <v>67.98</v>
      </c>
      <c r="F55" s="34">
        <v>43214</v>
      </c>
    </row>
    <row r="56" spans="1:6" ht="15.75" x14ac:dyDescent="0.25">
      <c r="A56" s="35">
        <v>526712</v>
      </c>
      <c r="B56" s="35" t="s">
        <v>14</v>
      </c>
      <c r="C56" s="35" t="s">
        <v>789</v>
      </c>
      <c r="D56" s="35" t="s">
        <v>1292</v>
      </c>
      <c r="E56" s="35">
        <v>122.76</v>
      </c>
      <c r="F56" s="34">
        <v>43214</v>
      </c>
    </row>
    <row r="57" spans="1:6" ht="15.75" x14ac:dyDescent="0.25">
      <c r="A57" s="35">
        <v>526712</v>
      </c>
      <c r="B57" s="35" t="s">
        <v>14</v>
      </c>
      <c r="C57" s="35" t="s">
        <v>1147</v>
      </c>
      <c r="D57" s="35" t="s">
        <v>1293</v>
      </c>
      <c r="E57" s="35">
        <v>163.68</v>
      </c>
      <c r="F57" s="34">
        <v>43214</v>
      </c>
    </row>
    <row r="58" spans="1:6" ht="15.75" x14ac:dyDescent="0.25">
      <c r="A58" s="35">
        <v>527120</v>
      </c>
      <c r="B58" s="35" t="s">
        <v>143</v>
      </c>
      <c r="C58" s="35" t="s">
        <v>144</v>
      </c>
      <c r="D58" s="35" t="s">
        <v>1294</v>
      </c>
      <c r="E58" s="35">
        <v>14.5</v>
      </c>
      <c r="F58" s="34">
        <v>43215</v>
      </c>
    </row>
    <row r="59" spans="1:6" ht="15.75" x14ac:dyDescent="0.25">
      <c r="A59" s="35">
        <v>527120</v>
      </c>
      <c r="B59" s="35" t="s">
        <v>143</v>
      </c>
      <c r="C59" s="35" t="s">
        <v>144</v>
      </c>
      <c r="D59" s="35" t="s">
        <v>1294</v>
      </c>
      <c r="E59" s="35">
        <v>14.5</v>
      </c>
      <c r="F59" s="34">
        <v>43215</v>
      </c>
    </row>
    <row r="60" spans="1:6" ht="15.75" x14ac:dyDescent="0.25">
      <c r="A60" s="35">
        <v>526120</v>
      </c>
      <c r="B60" s="35" t="s">
        <v>217</v>
      </c>
      <c r="C60" s="35" t="s">
        <v>1239</v>
      </c>
      <c r="D60" s="35" t="s">
        <v>1295</v>
      </c>
      <c r="E60" s="35">
        <v>26.16</v>
      </c>
      <c r="F60" s="34">
        <v>43216</v>
      </c>
    </row>
    <row r="61" spans="1:6" ht="15.75" x14ac:dyDescent="0.25">
      <c r="A61" s="35">
        <v>526120</v>
      </c>
      <c r="B61" s="35" t="s">
        <v>217</v>
      </c>
      <c r="C61" s="35" t="s">
        <v>1239</v>
      </c>
      <c r="D61" s="35" t="s">
        <v>1296</v>
      </c>
      <c r="E61" s="35">
        <v>29.44</v>
      </c>
      <c r="F61" s="34">
        <v>43216</v>
      </c>
    </row>
    <row r="62" spans="1:6" ht="15.75" x14ac:dyDescent="0.25">
      <c r="A62" s="35">
        <v>526712</v>
      </c>
      <c r="B62" s="35" t="s">
        <v>14</v>
      </c>
      <c r="C62" s="35" t="s">
        <v>922</v>
      </c>
      <c r="D62" s="35" t="s">
        <v>1297</v>
      </c>
      <c r="E62" s="35">
        <v>26.16</v>
      </c>
      <c r="F62" s="34">
        <v>43217</v>
      </c>
    </row>
    <row r="63" spans="1:6" ht="15.75" x14ac:dyDescent="0.25">
      <c r="A63" s="35">
        <v>526712</v>
      </c>
      <c r="B63" s="35" t="s">
        <v>14</v>
      </c>
      <c r="C63" s="35" t="s">
        <v>767</v>
      </c>
      <c r="D63" s="35" t="s">
        <v>1298</v>
      </c>
      <c r="E63" s="35">
        <v>42.62</v>
      </c>
      <c r="F63" s="34">
        <v>43217</v>
      </c>
    </row>
    <row r="64" spans="1:6" ht="15.75" x14ac:dyDescent="0.25">
      <c r="A64" s="35">
        <v>526712</v>
      </c>
      <c r="B64" s="35" t="s">
        <v>14</v>
      </c>
      <c r="C64" s="35" t="s">
        <v>327</v>
      </c>
      <c r="D64" s="35" t="s">
        <v>1299</v>
      </c>
      <c r="E64" s="35">
        <v>42.9</v>
      </c>
      <c r="F64" s="34">
        <v>43217</v>
      </c>
    </row>
    <row r="65" spans="1:6" ht="15.75" x14ac:dyDescent="0.25">
      <c r="A65" s="35">
        <v>526712</v>
      </c>
      <c r="B65" s="35" t="s">
        <v>14</v>
      </c>
      <c r="C65" s="35" t="s">
        <v>1284</v>
      </c>
      <c r="D65" s="35" t="s">
        <v>1300</v>
      </c>
      <c r="E65" s="35">
        <v>49.5</v>
      </c>
      <c r="F65" s="34">
        <v>43217</v>
      </c>
    </row>
    <row r="66" spans="1:6" ht="15.75" x14ac:dyDescent="0.25">
      <c r="A66" s="35">
        <v>526712</v>
      </c>
      <c r="B66" s="35" t="s">
        <v>14</v>
      </c>
      <c r="C66" s="35" t="s">
        <v>853</v>
      </c>
      <c r="D66" s="35" t="s">
        <v>1301</v>
      </c>
      <c r="E66" s="35">
        <v>67.98</v>
      </c>
      <c r="F66" s="34">
        <v>43217</v>
      </c>
    </row>
    <row r="67" spans="1:6" ht="15.75" x14ac:dyDescent="0.25">
      <c r="A67" s="35">
        <v>526712</v>
      </c>
      <c r="B67" s="35" t="s">
        <v>14</v>
      </c>
      <c r="C67" s="35" t="s">
        <v>1151</v>
      </c>
      <c r="D67" s="35" t="s">
        <v>1302</v>
      </c>
      <c r="E67" s="35">
        <v>83.82</v>
      </c>
      <c r="F67" s="34">
        <v>43217</v>
      </c>
    </row>
    <row r="68" spans="1:6" ht="15.75" x14ac:dyDescent="0.25">
      <c r="A68" s="35">
        <v>526712</v>
      </c>
      <c r="B68" s="35" t="s">
        <v>14</v>
      </c>
      <c r="C68" s="35" t="s">
        <v>927</v>
      </c>
      <c r="D68" s="35" t="s">
        <v>1303</v>
      </c>
      <c r="E68" s="35">
        <v>101.64</v>
      </c>
      <c r="F68" s="34">
        <v>43217</v>
      </c>
    </row>
  </sheetData>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8E28-D60E-473A-B6B7-FCAEB9EAD853}">
  <dimension ref="A1:F109"/>
  <sheetViews>
    <sheetView workbookViewId="0">
      <selection sqref="A1:F109"/>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526742</v>
      </c>
      <c r="B2" s="35" t="s">
        <v>26</v>
      </c>
      <c r="C2" s="35" t="s">
        <v>823</v>
      </c>
      <c r="D2" s="35" t="s">
        <v>1164</v>
      </c>
      <c r="E2" s="35">
        <v>27.3</v>
      </c>
      <c r="F2" s="34">
        <v>43160</v>
      </c>
    </row>
    <row r="3" spans="1:6" ht="15.75" x14ac:dyDescent="0.25">
      <c r="A3" s="35">
        <v>526712</v>
      </c>
      <c r="B3" s="35" t="s">
        <v>14</v>
      </c>
      <c r="C3" s="35" t="s">
        <v>823</v>
      </c>
      <c r="D3" s="35" t="s">
        <v>1164</v>
      </c>
      <c r="E3" s="35">
        <v>104.28</v>
      </c>
      <c r="F3" s="34">
        <v>43160</v>
      </c>
    </row>
    <row r="4" spans="1:6" ht="15.75" x14ac:dyDescent="0.25">
      <c r="A4" s="35">
        <v>526741</v>
      </c>
      <c r="B4" s="35" t="s">
        <v>23</v>
      </c>
      <c r="C4" s="35" t="s">
        <v>1071</v>
      </c>
      <c r="D4" s="35" t="s">
        <v>1165</v>
      </c>
      <c r="E4" s="35">
        <v>115.54</v>
      </c>
      <c r="F4" s="34">
        <v>43160</v>
      </c>
    </row>
    <row r="5" spans="1:6" ht="15.75" x14ac:dyDescent="0.25">
      <c r="A5" s="35">
        <v>526712</v>
      </c>
      <c r="B5" s="35" t="s">
        <v>14</v>
      </c>
      <c r="C5" s="35" t="s">
        <v>769</v>
      </c>
      <c r="D5" s="35" t="s">
        <v>1166</v>
      </c>
      <c r="E5" s="35">
        <v>7.64</v>
      </c>
      <c r="F5" s="34">
        <v>43164</v>
      </c>
    </row>
    <row r="6" spans="1:6" ht="15.75" x14ac:dyDescent="0.25">
      <c r="A6" s="35">
        <v>526712</v>
      </c>
      <c r="B6" s="35" t="s">
        <v>14</v>
      </c>
      <c r="C6" s="35" t="s">
        <v>386</v>
      </c>
      <c r="D6" s="35" t="s">
        <v>1167</v>
      </c>
      <c r="E6" s="35">
        <v>36.299999999999997</v>
      </c>
      <c r="F6" s="34">
        <v>43164</v>
      </c>
    </row>
    <row r="7" spans="1:6" ht="15.75" x14ac:dyDescent="0.25">
      <c r="A7" s="35">
        <v>526712</v>
      </c>
      <c r="B7" s="35" t="s">
        <v>14</v>
      </c>
      <c r="C7" s="35" t="s">
        <v>853</v>
      </c>
      <c r="D7" s="35" t="s">
        <v>1168</v>
      </c>
      <c r="E7" s="35">
        <v>52.14</v>
      </c>
      <c r="F7" s="34">
        <v>43164</v>
      </c>
    </row>
    <row r="8" spans="1:6" ht="15.75" x14ac:dyDescent="0.25">
      <c r="A8" s="35">
        <v>526712</v>
      </c>
      <c r="B8" s="35" t="s">
        <v>14</v>
      </c>
      <c r="C8" s="35" t="s">
        <v>773</v>
      </c>
      <c r="D8" s="35" t="s">
        <v>1169</v>
      </c>
      <c r="E8" s="35">
        <v>74.58</v>
      </c>
      <c r="F8" s="34">
        <v>43164</v>
      </c>
    </row>
    <row r="9" spans="1:6" ht="15.75" x14ac:dyDescent="0.25">
      <c r="A9" s="35">
        <v>526712</v>
      </c>
      <c r="B9" s="35" t="s">
        <v>14</v>
      </c>
      <c r="C9" s="35" t="s">
        <v>311</v>
      </c>
      <c r="D9" s="35" t="s">
        <v>1170</v>
      </c>
      <c r="E9" s="35">
        <v>85.8</v>
      </c>
      <c r="F9" s="34">
        <v>43164</v>
      </c>
    </row>
    <row r="10" spans="1:6" ht="15.75" x14ac:dyDescent="0.25">
      <c r="A10" s="35">
        <v>526712</v>
      </c>
      <c r="B10" s="35" t="s">
        <v>14</v>
      </c>
      <c r="C10" s="35" t="s">
        <v>927</v>
      </c>
      <c r="D10" s="35" t="s">
        <v>1171</v>
      </c>
      <c r="E10" s="35">
        <v>85.8</v>
      </c>
      <c r="F10" s="34">
        <v>43164</v>
      </c>
    </row>
    <row r="11" spans="1:6" ht="15.75" x14ac:dyDescent="0.25">
      <c r="A11" s="35">
        <v>526712</v>
      </c>
      <c r="B11" s="35" t="s">
        <v>14</v>
      </c>
      <c r="C11" s="35" t="s">
        <v>232</v>
      </c>
      <c r="D11" s="35" t="s">
        <v>1172</v>
      </c>
      <c r="E11" s="35">
        <v>107.58</v>
      </c>
      <c r="F11" s="34">
        <v>43164</v>
      </c>
    </row>
    <row r="12" spans="1:6" ht="15.75" x14ac:dyDescent="0.25">
      <c r="A12" s="35">
        <v>526712</v>
      </c>
      <c r="B12" s="35" t="s">
        <v>14</v>
      </c>
      <c r="C12" s="35" t="s">
        <v>232</v>
      </c>
      <c r="D12" s="35" t="s">
        <v>1173</v>
      </c>
      <c r="E12" s="35">
        <v>110.22</v>
      </c>
      <c r="F12" s="34">
        <v>43164</v>
      </c>
    </row>
    <row r="13" spans="1:6" ht="15.75" x14ac:dyDescent="0.25">
      <c r="A13" s="35">
        <v>526712</v>
      </c>
      <c r="B13" s="35" t="s">
        <v>14</v>
      </c>
      <c r="C13" s="35" t="s">
        <v>961</v>
      </c>
      <c r="D13" s="35" t="s">
        <v>1174</v>
      </c>
      <c r="E13" s="35">
        <v>178.2</v>
      </c>
      <c r="F13" s="34">
        <v>43164</v>
      </c>
    </row>
    <row r="14" spans="1:6" ht="15.75" x14ac:dyDescent="0.25">
      <c r="A14" s="35">
        <v>587890</v>
      </c>
      <c r="B14" s="35" t="s">
        <v>32</v>
      </c>
      <c r="C14" s="35" t="s">
        <v>445</v>
      </c>
      <c r="D14" s="35" t="s">
        <v>1175</v>
      </c>
      <c r="E14" s="35">
        <v>1145</v>
      </c>
      <c r="F14" s="34">
        <v>43164</v>
      </c>
    </row>
    <row r="15" spans="1:6" ht="15.75" x14ac:dyDescent="0.25">
      <c r="A15" s="35">
        <v>526712</v>
      </c>
      <c r="B15" s="35" t="s">
        <v>14</v>
      </c>
      <c r="C15" s="35" t="s">
        <v>1176</v>
      </c>
      <c r="D15" s="35" t="s">
        <v>1177</v>
      </c>
      <c r="E15" s="35">
        <v>72.599999999999994</v>
      </c>
      <c r="F15" s="34">
        <v>43166</v>
      </c>
    </row>
    <row r="16" spans="1:6" ht="15.75" x14ac:dyDescent="0.25">
      <c r="A16" s="35">
        <v>526712</v>
      </c>
      <c r="B16" s="35" t="s">
        <v>14</v>
      </c>
      <c r="C16" s="35" t="s">
        <v>1178</v>
      </c>
      <c r="D16" s="35" t="s">
        <v>1179</v>
      </c>
      <c r="E16" s="35">
        <v>101.64</v>
      </c>
      <c r="F16" s="34">
        <v>43166</v>
      </c>
    </row>
    <row r="17" spans="1:6" ht="15.75" x14ac:dyDescent="0.25">
      <c r="A17" s="35">
        <v>558921</v>
      </c>
      <c r="B17" s="35" t="s">
        <v>262</v>
      </c>
      <c r="C17" s="35" t="s">
        <v>924</v>
      </c>
      <c r="D17" s="35" t="s">
        <v>1180</v>
      </c>
      <c r="E17" s="35">
        <v>40.96</v>
      </c>
      <c r="F17" s="34">
        <v>43167</v>
      </c>
    </row>
    <row r="18" spans="1:6" ht="15.75" x14ac:dyDescent="0.25">
      <c r="A18" s="35">
        <v>526712</v>
      </c>
      <c r="B18" s="35" t="s">
        <v>14</v>
      </c>
      <c r="C18" s="35" t="s">
        <v>1181</v>
      </c>
      <c r="D18" s="35" t="s">
        <v>1182</v>
      </c>
      <c r="E18" s="35">
        <v>60.72</v>
      </c>
      <c r="F18" s="34">
        <v>43167</v>
      </c>
    </row>
    <row r="19" spans="1:6" ht="15.75" x14ac:dyDescent="0.25">
      <c r="A19" s="35">
        <v>526741</v>
      </c>
      <c r="B19" s="35" t="s">
        <v>23</v>
      </c>
      <c r="C19" s="35" t="s">
        <v>812</v>
      </c>
      <c r="D19" s="35" t="s">
        <v>1183</v>
      </c>
      <c r="E19" s="35">
        <v>159</v>
      </c>
      <c r="F19" s="34">
        <v>43167</v>
      </c>
    </row>
    <row r="20" spans="1:6" ht="15.75" x14ac:dyDescent="0.25">
      <c r="A20" s="35">
        <v>526712</v>
      </c>
      <c r="B20" s="35" t="s">
        <v>14</v>
      </c>
      <c r="C20" s="35" t="s">
        <v>635</v>
      </c>
      <c r="D20" s="35" t="s">
        <v>1184</v>
      </c>
      <c r="E20" s="35">
        <v>170</v>
      </c>
      <c r="F20" s="34">
        <v>43167</v>
      </c>
    </row>
    <row r="21" spans="1:6" ht="15.75" x14ac:dyDescent="0.25">
      <c r="A21" s="35">
        <v>587890</v>
      </c>
      <c r="B21" s="35" t="s">
        <v>32</v>
      </c>
      <c r="C21" s="35" t="s">
        <v>348</v>
      </c>
      <c r="D21" s="35" t="s">
        <v>1185</v>
      </c>
      <c r="E21" s="35">
        <v>189.95</v>
      </c>
      <c r="F21" s="34">
        <v>43167</v>
      </c>
    </row>
    <row r="22" spans="1:6" ht="15.75" x14ac:dyDescent="0.25">
      <c r="A22" s="35">
        <v>587890</v>
      </c>
      <c r="B22" s="35" t="s">
        <v>32</v>
      </c>
      <c r="C22" s="35" t="s">
        <v>462</v>
      </c>
      <c r="D22" s="35" t="s">
        <v>1186</v>
      </c>
      <c r="E22" s="35">
        <v>1000</v>
      </c>
      <c r="F22" s="34">
        <v>43167</v>
      </c>
    </row>
    <row r="23" spans="1:6" ht="15.75" x14ac:dyDescent="0.25">
      <c r="A23" s="35">
        <v>587890</v>
      </c>
      <c r="B23" s="35" t="s">
        <v>32</v>
      </c>
      <c r="C23" s="35" t="s">
        <v>462</v>
      </c>
      <c r="D23" s="35" t="s">
        <v>1187</v>
      </c>
      <c r="E23" s="35">
        <v>1000</v>
      </c>
      <c r="F23" s="34">
        <v>43167</v>
      </c>
    </row>
    <row r="24" spans="1:6" ht="15.75" x14ac:dyDescent="0.25">
      <c r="A24" s="35">
        <v>587890</v>
      </c>
      <c r="B24" s="35" t="s">
        <v>32</v>
      </c>
      <c r="C24" s="35" t="s">
        <v>628</v>
      </c>
      <c r="D24" s="35" t="s">
        <v>1188</v>
      </c>
      <c r="E24" s="35">
        <v>1225</v>
      </c>
      <c r="F24" s="34">
        <v>43167</v>
      </c>
    </row>
    <row r="25" spans="1:6" ht="15.75" x14ac:dyDescent="0.25">
      <c r="A25" s="35">
        <v>587890</v>
      </c>
      <c r="B25" s="35" t="s">
        <v>32</v>
      </c>
      <c r="C25" s="35" t="s">
        <v>801</v>
      </c>
      <c r="D25" s="35" t="s">
        <v>1189</v>
      </c>
      <c r="E25" s="35">
        <v>1250</v>
      </c>
      <c r="F25" s="34">
        <v>43167</v>
      </c>
    </row>
    <row r="26" spans="1:6" ht="15.75" x14ac:dyDescent="0.25">
      <c r="A26" s="35">
        <v>587890</v>
      </c>
      <c r="B26" s="35" t="s">
        <v>32</v>
      </c>
      <c r="C26" s="35" t="s">
        <v>445</v>
      </c>
      <c r="D26" s="35" t="s">
        <v>1190</v>
      </c>
      <c r="E26" s="35">
        <v>1330.99</v>
      </c>
      <c r="F26" s="34">
        <v>43167</v>
      </c>
    </row>
    <row r="27" spans="1:6" ht="15.75" x14ac:dyDescent="0.25">
      <c r="A27" s="35">
        <v>587890</v>
      </c>
      <c r="B27" s="35" t="s">
        <v>32</v>
      </c>
      <c r="C27" s="35" t="s">
        <v>628</v>
      </c>
      <c r="D27" s="35" t="s">
        <v>1191</v>
      </c>
      <c r="E27" s="35">
        <v>1500</v>
      </c>
      <c r="F27" s="34">
        <v>43167</v>
      </c>
    </row>
    <row r="28" spans="1:6" ht="15.75" x14ac:dyDescent="0.25">
      <c r="A28" s="35">
        <v>587890</v>
      </c>
      <c r="B28" s="35" t="s">
        <v>32</v>
      </c>
      <c r="C28" s="35" t="s">
        <v>144</v>
      </c>
      <c r="D28" s="35" t="s">
        <v>1192</v>
      </c>
      <c r="E28" s="35">
        <v>2500</v>
      </c>
      <c r="F28" s="34">
        <v>43167</v>
      </c>
    </row>
    <row r="29" spans="1:6" ht="15.75" x14ac:dyDescent="0.25">
      <c r="A29" s="35">
        <v>526741</v>
      </c>
      <c r="B29" s="35" t="s">
        <v>23</v>
      </c>
      <c r="C29" s="35" t="s">
        <v>812</v>
      </c>
      <c r="D29" s="35" t="s">
        <v>1193</v>
      </c>
      <c r="E29" s="35">
        <v>2623.5</v>
      </c>
      <c r="F29" s="34">
        <v>43167</v>
      </c>
    </row>
    <row r="30" spans="1:6" ht="15.75" x14ac:dyDescent="0.25">
      <c r="A30" s="35">
        <v>587890</v>
      </c>
      <c r="B30" s="35" t="s">
        <v>32</v>
      </c>
      <c r="C30" s="35" t="s">
        <v>458</v>
      </c>
      <c r="D30" s="35" t="s">
        <v>1194</v>
      </c>
      <c r="E30" s="35">
        <v>2850</v>
      </c>
      <c r="F30" s="34">
        <v>43167</v>
      </c>
    </row>
    <row r="31" spans="1:6" ht="15.75" x14ac:dyDescent="0.25">
      <c r="A31" s="35">
        <v>587890</v>
      </c>
      <c r="B31" s="35" t="s">
        <v>32</v>
      </c>
      <c r="C31" s="35" t="s">
        <v>144</v>
      </c>
      <c r="D31" s="35" t="s">
        <v>1195</v>
      </c>
      <c r="E31" s="35">
        <v>3207</v>
      </c>
      <c r="F31" s="34">
        <v>43167</v>
      </c>
    </row>
    <row r="32" spans="1:6" ht="15.75" x14ac:dyDescent="0.25">
      <c r="A32" s="35">
        <v>587890</v>
      </c>
      <c r="B32" s="35" t="s">
        <v>32</v>
      </c>
      <c r="C32" s="35" t="s">
        <v>1196</v>
      </c>
      <c r="D32" s="35" t="s">
        <v>1197</v>
      </c>
      <c r="E32" s="35">
        <v>3322.13</v>
      </c>
      <c r="F32" s="34">
        <v>43167</v>
      </c>
    </row>
    <row r="33" spans="1:6" ht="15.75" x14ac:dyDescent="0.25">
      <c r="A33" s="35">
        <v>526741</v>
      </c>
      <c r="B33" s="35" t="s">
        <v>23</v>
      </c>
      <c r="C33" s="35" t="s">
        <v>635</v>
      </c>
      <c r="D33" s="35" t="s">
        <v>1184</v>
      </c>
      <c r="E33" s="35">
        <v>4860.75</v>
      </c>
      <c r="F33" s="34">
        <v>43167</v>
      </c>
    </row>
    <row r="34" spans="1:6" ht="15.75" x14ac:dyDescent="0.25">
      <c r="A34" s="35">
        <v>587890</v>
      </c>
      <c r="B34" s="35" t="s">
        <v>32</v>
      </c>
      <c r="C34" s="35" t="s">
        <v>350</v>
      </c>
      <c r="D34" s="35" t="s">
        <v>1198</v>
      </c>
      <c r="E34" s="35">
        <v>370</v>
      </c>
      <c r="F34" s="34">
        <v>43168</v>
      </c>
    </row>
    <row r="35" spans="1:6" ht="15.75" x14ac:dyDescent="0.25">
      <c r="A35" s="35">
        <v>587890</v>
      </c>
      <c r="B35" s="35" t="s">
        <v>32</v>
      </c>
      <c r="C35" s="35" t="s">
        <v>517</v>
      </c>
      <c r="D35" s="35" t="s">
        <v>1199</v>
      </c>
      <c r="E35" s="35">
        <v>500</v>
      </c>
      <c r="F35" s="34">
        <v>43168</v>
      </c>
    </row>
    <row r="36" spans="1:6" ht="15.75" x14ac:dyDescent="0.25">
      <c r="A36" s="35">
        <v>487110</v>
      </c>
      <c r="B36" s="35" t="s">
        <v>36</v>
      </c>
      <c r="C36" s="35" t="s">
        <v>1200</v>
      </c>
      <c r="D36" s="35" t="s">
        <v>1201</v>
      </c>
      <c r="E36" s="35">
        <v>2268.62</v>
      </c>
      <c r="F36" s="34">
        <v>43174</v>
      </c>
    </row>
    <row r="37" spans="1:6" ht="15.75" x14ac:dyDescent="0.25">
      <c r="A37" s="35">
        <v>558979</v>
      </c>
      <c r="B37" s="35" t="s">
        <v>150</v>
      </c>
      <c r="C37" s="35" t="s">
        <v>956</v>
      </c>
      <c r="D37" s="35" t="s">
        <v>1202</v>
      </c>
      <c r="E37" s="35">
        <v>125</v>
      </c>
      <c r="F37" s="34">
        <v>43175</v>
      </c>
    </row>
    <row r="38" spans="1:6" ht="15.75" x14ac:dyDescent="0.25">
      <c r="A38" s="35">
        <v>558979</v>
      </c>
      <c r="B38" s="35" t="s">
        <v>150</v>
      </c>
      <c r="C38" s="35" t="s">
        <v>947</v>
      </c>
      <c r="D38" s="35" t="s">
        <v>1203</v>
      </c>
      <c r="E38" s="35">
        <v>125</v>
      </c>
      <c r="F38" s="34">
        <v>43175</v>
      </c>
    </row>
    <row r="39" spans="1:6" ht="15.75" x14ac:dyDescent="0.25">
      <c r="A39" s="35">
        <v>558979</v>
      </c>
      <c r="B39" s="35" t="s">
        <v>150</v>
      </c>
      <c r="C39" s="35" t="s">
        <v>927</v>
      </c>
      <c r="D39" s="35" t="s">
        <v>1204</v>
      </c>
      <c r="E39" s="35">
        <v>125</v>
      </c>
      <c r="F39" s="34">
        <v>43175</v>
      </c>
    </row>
    <row r="40" spans="1:6" ht="15.75" x14ac:dyDescent="0.25">
      <c r="A40" s="35">
        <v>558979</v>
      </c>
      <c r="B40" s="35" t="s">
        <v>150</v>
      </c>
      <c r="C40" s="35" t="s">
        <v>311</v>
      </c>
      <c r="D40" s="35" t="s">
        <v>1205</v>
      </c>
      <c r="E40" s="35">
        <v>125</v>
      </c>
      <c r="F40" s="34">
        <v>43175</v>
      </c>
    </row>
    <row r="41" spans="1:6" ht="15.75" x14ac:dyDescent="0.25">
      <c r="A41" s="35">
        <v>558979</v>
      </c>
      <c r="B41" s="35" t="s">
        <v>150</v>
      </c>
      <c r="C41" s="35" t="s">
        <v>961</v>
      </c>
      <c r="D41" s="35" t="s">
        <v>1206</v>
      </c>
      <c r="E41" s="35">
        <v>125</v>
      </c>
      <c r="F41" s="34">
        <v>43175</v>
      </c>
    </row>
    <row r="42" spans="1:6" ht="15.75" x14ac:dyDescent="0.25">
      <c r="A42" s="35">
        <v>558979</v>
      </c>
      <c r="B42" s="35" t="s">
        <v>150</v>
      </c>
      <c r="C42" s="35" t="s">
        <v>323</v>
      </c>
      <c r="D42" s="35" t="s">
        <v>1207</v>
      </c>
      <c r="E42" s="35">
        <v>125</v>
      </c>
      <c r="F42" s="34">
        <v>43175</v>
      </c>
    </row>
    <row r="43" spans="1:6" ht="15.75" x14ac:dyDescent="0.25">
      <c r="A43" s="35">
        <v>558979</v>
      </c>
      <c r="B43" s="35" t="s">
        <v>150</v>
      </c>
      <c r="C43" s="35" t="s">
        <v>309</v>
      </c>
      <c r="D43" s="35" t="s">
        <v>1208</v>
      </c>
      <c r="E43" s="35">
        <v>125</v>
      </c>
      <c r="F43" s="34">
        <v>43175</v>
      </c>
    </row>
    <row r="44" spans="1:6" ht="15.75" x14ac:dyDescent="0.25">
      <c r="A44" s="35">
        <v>558979</v>
      </c>
      <c r="B44" s="35" t="s">
        <v>150</v>
      </c>
      <c r="C44" s="35" t="s">
        <v>1001</v>
      </c>
      <c r="D44" s="35" t="s">
        <v>1209</v>
      </c>
      <c r="E44" s="35">
        <v>125</v>
      </c>
      <c r="F44" s="34">
        <v>43175</v>
      </c>
    </row>
    <row r="45" spans="1:6" ht="15.75" x14ac:dyDescent="0.25">
      <c r="A45" s="35">
        <v>558979</v>
      </c>
      <c r="B45" s="35" t="s">
        <v>150</v>
      </c>
      <c r="C45" s="35" t="s">
        <v>1149</v>
      </c>
      <c r="D45" s="35" t="s">
        <v>1210</v>
      </c>
      <c r="E45" s="35">
        <v>125</v>
      </c>
      <c r="F45" s="34">
        <v>43175</v>
      </c>
    </row>
    <row r="46" spans="1:6" ht="15.75" x14ac:dyDescent="0.25">
      <c r="A46" s="35">
        <v>558979</v>
      </c>
      <c r="B46" s="35" t="s">
        <v>150</v>
      </c>
      <c r="C46" s="35" t="s">
        <v>942</v>
      </c>
      <c r="D46" s="35" t="s">
        <v>1211</v>
      </c>
      <c r="E46" s="35">
        <v>125</v>
      </c>
      <c r="F46" s="34">
        <v>43175</v>
      </c>
    </row>
    <row r="47" spans="1:6" ht="15.75" x14ac:dyDescent="0.25">
      <c r="A47" s="35">
        <v>558979</v>
      </c>
      <c r="B47" s="35" t="s">
        <v>150</v>
      </c>
      <c r="C47" s="35" t="s">
        <v>949</v>
      </c>
      <c r="D47" s="35" t="s">
        <v>1212</v>
      </c>
      <c r="E47" s="35">
        <v>125</v>
      </c>
      <c r="F47" s="34">
        <v>43175</v>
      </c>
    </row>
    <row r="48" spans="1:6" ht="15.75" x14ac:dyDescent="0.25">
      <c r="A48" s="35">
        <v>558979</v>
      </c>
      <c r="B48" s="35" t="s">
        <v>150</v>
      </c>
      <c r="C48" s="35" t="s">
        <v>952</v>
      </c>
      <c r="D48" s="35" t="s">
        <v>1213</v>
      </c>
      <c r="E48" s="35">
        <v>125</v>
      </c>
      <c r="F48" s="34">
        <v>43175</v>
      </c>
    </row>
    <row r="49" spans="1:6" ht="15.75" x14ac:dyDescent="0.25">
      <c r="A49" s="35">
        <v>558979</v>
      </c>
      <c r="B49" s="35" t="s">
        <v>150</v>
      </c>
      <c r="C49" s="35" t="s">
        <v>1062</v>
      </c>
      <c r="D49" s="35" t="s">
        <v>1214</v>
      </c>
      <c r="E49" s="35">
        <v>150</v>
      </c>
      <c r="F49" s="34">
        <v>43175</v>
      </c>
    </row>
    <row r="50" spans="1:6" ht="15.75" x14ac:dyDescent="0.25">
      <c r="A50" s="35">
        <v>558979</v>
      </c>
      <c r="B50" s="35" t="s">
        <v>150</v>
      </c>
      <c r="C50" s="35" t="s">
        <v>1151</v>
      </c>
      <c r="D50" s="35" t="s">
        <v>1215</v>
      </c>
      <c r="E50" s="35">
        <v>156.25</v>
      </c>
      <c r="F50" s="34">
        <v>43175</v>
      </c>
    </row>
    <row r="51" spans="1:6" ht="15.75" x14ac:dyDescent="0.25">
      <c r="A51" s="35">
        <v>558979</v>
      </c>
      <c r="B51" s="35" t="s">
        <v>150</v>
      </c>
      <c r="C51" s="35" t="s">
        <v>1216</v>
      </c>
      <c r="D51" s="35" t="s">
        <v>1217</v>
      </c>
      <c r="E51" s="35">
        <v>166.67</v>
      </c>
      <c r="F51" s="34">
        <v>43175</v>
      </c>
    </row>
    <row r="52" spans="1:6" ht="15.75" x14ac:dyDescent="0.25">
      <c r="A52" s="35">
        <v>558979</v>
      </c>
      <c r="B52" s="35" t="s">
        <v>150</v>
      </c>
      <c r="C52" s="35" t="s">
        <v>781</v>
      </c>
      <c r="D52" s="35" t="s">
        <v>1218</v>
      </c>
      <c r="E52" s="35">
        <v>200</v>
      </c>
      <c r="F52" s="34">
        <v>43175</v>
      </c>
    </row>
    <row r="53" spans="1:6" ht="15.75" x14ac:dyDescent="0.25">
      <c r="A53" s="35">
        <v>558979</v>
      </c>
      <c r="B53" s="35" t="s">
        <v>150</v>
      </c>
      <c r="C53" s="35" t="s">
        <v>783</v>
      </c>
      <c r="D53" s="35" t="s">
        <v>1219</v>
      </c>
      <c r="E53" s="35">
        <v>200</v>
      </c>
      <c r="F53" s="34">
        <v>43175</v>
      </c>
    </row>
    <row r="54" spans="1:6" ht="15.75" x14ac:dyDescent="0.25">
      <c r="A54" s="35">
        <v>558979</v>
      </c>
      <c r="B54" s="35" t="s">
        <v>150</v>
      </c>
      <c r="C54" s="35" t="s">
        <v>853</v>
      </c>
      <c r="D54" s="35" t="s">
        <v>1220</v>
      </c>
      <c r="E54" s="35">
        <v>200</v>
      </c>
      <c r="F54" s="34">
        <v>43175</v>
      </c>
    </row>
    <row r="55" spans="1:6" ht="15.75" x14ac:dyDescent="0.25">
      <c r="A55" s="35">
        <v>558979</v>
      </c>
      <c r="B55" s="35" t="s">
        <v>150</v>
      </c>
      <c r="C55" s="35" t="s">
        <v>771</v>
      </c>
      <c r="D55" s="35" t="s">
        <v>1221</v>
      </c>
      <c r="E55" s="35">
        <v>200</v>
      </c>
      <c r="F55" s="34">
        <v>43175</v>
      </c>
    </row>
    <row r="56" spans="1:6" ht="15.75" x14ac:dyDescent="0.25">
      <c r="A56" s="35">
        <v>558979</v>
      </c>
      <c r="B56" s="35" t="s">
        <v>150</v>
      </c>
      <c r="C56" s="35" t="s">
        <v>767</v>
      </c>
      <c r="D56" s="35" t="s">
        <v>1222</v>
      </c>
      <c r="E56" s="35">
        <v>200</v>
      </c>
      <c r="F56" s="34">
        <v>43175</v>
      </c>
    </row>
    <row r="57" spans="1:6" ht="15.75" x14ac:dyDescent="0.25">
      <c r="A57" s="35">
        <v>558979</v>
      </c>
      <c r="B57" s="35" t="s">
        <v>150</v>
      </c>
      <c r="C57" s="35" t="s">
        <v>1223</v>
      </c>
      <c r="D57" s="35" t="s">
        <v>1224</v>
      </c>
      <c r="E57" s="35">
        <v>300</v>
      </c>
      <c r="F57" s="34">
        <v>43175</v>
      </c>
    </row>
    <row r="58" spans="1:6" ht="15.75" x14ac:dyDescent="0.25">
      <c r="A58" s="35">
        <v>558979</v>
      </c>
      <c r="B58" s="35" t="s">
        <v>150</v>
      </c>
      <c r="C58" s="35" t="s">
        <v>342</v>
      </c>
      <c r="D58" s="35" t="s">
        <v>1225</v>
      </c>
      <c r="E58" s="35">
        <v>400</v>
      </c>
      <c r="F58" s="34">
        <v>43175</v>
      </c>
    </row>
    <row r="59" spans="1:6" ht="15.75" x14ac:dyDescent="0.25">
      <c r="A59" s="35">
        <v>558979</v>
      </c>
      <c r="B59" s="35" t="s">
        <v>150</v>
      </c>
      <c r="C59" s="35" t="s">
        <v>232</v>
      </c>
      <c r="D59" s="35" t="s">
        <v>1226</v>
      </c>
      <c r="E59" s="35">
        <v>650</v>
      </c>
      <c r="F59" s="34">
        <v>43175</v>
      </c>
    </row>
    <row r="60" spans="1:6" ht="15.75" x14ac:dyDescent="0.25">
      <c r="A60" s="35">
        <v>526741</v>
      </c>
      <c r="B60" s="35" t="s">
        <v>23</v>
      </c>
      <c r="C60" s="35" t="s">
        <v>812</v>
      </c>
      <c r="D60" s="35" t="s">
        <v>1227</v>
      </c>
      <c r="E60" s="35">
        <v>84.8</v>
      </c>
      <c r="F60" s="34">
        <v>43180</v>
      </c>
    </row>
    <row r="61" spans="1:6" ht="15.75" x14ac:dyDescent="0.25">
      <c r="A61" s="35">
        <v>527120</v>
      </c>
      <c r="B61" s="35" t="s">
        <v>143</v>
      </c>
      <c r="C61" s="35" t="s">
        <v>144</v>
      </c>
      <c r="D61" s="35" t="s">
        <v>1228</v>
      </c>
      <c r="E61" s="35">
        <v>14.5</v>
      </c>
      <c r="F61" s="34">
        <v>43182</v>
      </c>
    </row>
    <row r="62" spans="1:6" ht="15.75" x14ac:dyDescent="0.25">
      <c r="A62" s="35">
        <v>527120</v>
      </c>
      <c r="B62" s="35" t="s">
        <v>143</v>
      </c>
      <c r="C62" s="35" t="s">
        <v>144</v>
      </c>
      <c r="D62" s="35" t="s">
        <v>1228</v>
      </c>
      <c r="E62" s="35">
        <v>14.5</v>
      </c>
      <c r="F62" s="34">
        <v>43182</v>
      </c>
    </row>
    <row r="63" spans="1:6" ht="15.75" x14ac:dyDescent="0.25">
      <c r="A63" s="35">
        <v>526712</v>
      </c>
      <c r="B63" s="35" t="s">
        <v>14</v>
      </c>
      <c r="C63" s="35" t="s">
        <v>927</v>
      </c>
      <c r="D63" s="35" t="s">
        <v>1229</v>
      </c>
      <c r="E63" s="35">
        <v>113.52</v>
      </c>
      <c r="F63" s="34">
        <v>43185</v>
      </c>
    </row>
    <row r="64" spans="1:6" ht="15.75" x14ac:dyDescent="0.25">
      <c r="A64" s="35">
        <v>526712</v>
      </c>
      <c r="B64" s="35" t="s">
        <v>14</v>
      </c>
      <c r="C64" s="35" t="s">
        <v>853</v>
      </c>
      <c r="D64" s="35" t="s">
        <v>1230</v>
      </c>
      <c r="E64" s="35">
        <v>128.69999999999999</v>
      </c>
      <c r="F64" s="34">
        <v>43185</v>
      </c>
    </row>
    <row r="65" spans="1:6" ht="15.75" x14ac:dyDescent="0.25">
      <c r="A65" s="35">
        <v>526712</v>
      </c>
      <c r="B65" s="35" t="s">
        <v>14</v>
      </c>
      <c r="C65" s="35" t="s">
        <v>771</v>
      </c>
      <c r="D65" s="35" t="s">
        <v>1231</v>
      </c>
      <c r="E65" s="35">
        <v>147.84</v>
      </c>
      <c r="F65" s="34">
        <v>43185</v>
      </c>
    </row>
    <row r="66" spans="1:6" ht="15.75" x14ac:dyDescent="0.25">
      <c r="A66" s="35">
        <v>526712</v>
      </c>
      <c r="B66" s="35" t="s">
        <v>14</v>
      </c>
      <c r="C66" s="35" t="s">
        <v>922</v>
      </c>
      <c r="D66" s="35" t="s">
        <v>1232</v>
      </c>
      <c r="E66" s="35">
        <v>178.2</v>
      </c>
      <c r="F66" s="34">
        <v>43185</v>
      </c>
    </row>
    <row r="67" spans="1:6" ht="15.75" x14ac:dyDescent="0.25">
      <c r="A67" s="35">
        <v>526712</v>
      </c>
      <c r="B67" s="35" t="s">
        <v>14</v>
      </c>
      <c r="C67" s="35" t="s">
        <v>783</v>
      </c>
      <c r="D67" s="35" t="s">
        <v>1233</v>
      </c>
      <c r="E67" s="35">
        <v>193.38</v>
      </c>
      <c r="F67" s="34">
        <v>43185</v>
      </c>
    </row>
    <row r="68" spans="1:6" ht="15.75" x14ac:dyDescent="0.25">
      <c r="A68" s="35">
        <v>526712</v>
      </c>
      <c r="B68" s="35" t="s">
        <v>14</v>
      </c>
      <c r="C68" s="35" t="s">
        <v>1151</v>
      </c>
      <c r="D68" s="35" t="s">
        <v>1234</v>
      </c>
      <c r="E68" s="35">
        <v>267.3</v>
      </c>
      <c r="F68" s="34">
        <v>43185</v>
      </c>
    </row>
    <row r="69" spans="1:6" ht="15.75" x14ac:dyDescent="0.25">
      <c r="A69" s="35">
        <v>526711</v>
      </c>
      <c r="B69" s="35" t="s">
        <v>755</v>
      </c>
      <c r="C69" s="35" t="s">
        <v>1235</v>
      </c>
      <c r="D69" s="35" t="s">
        <v>1236</v>
      </c>
      <c r="E69" s="35">
        <v>299.3</v>
      </c>
      <c r="F69" s="34">
        <v>43188</v>
      </c>
    </row>
    <row r="70" spans="1:6" ht="15.75" x14ac:dyDescent="0.25">
      <c r="A70" s="35">
        <v>526711</v>
      </c>
      <c r="B70" s="35" t="s">
        <v>755</v>
      </c>
      <c r="C70" s="35" t="s">
        <v>1235</v>
      </c>
      <c r="D70" s="35" t="s">
        <v>1237</v>
      </c>
      <c r="E70" s="35">
        <v>426.1</v>
      </c>
      <c r="F70" s="34">
        <v>43188</v>
      </c>
    </row>
    <row r="71" spans="1:6" ht="15.75" x14ac:dyDescent="0.25">
      <c r="A71" s="35">
        <v>526711</v>
      </c>
      <c r="B71" s="35" t="s">
        <v>755</v>
      </c>
      <c r="C71" s="35" t="s">
        <v>1235</v>
      </c>
      <c r="D71" s="35" t="s">
        <v>1238</v>
      </c>
      <c r="E71" s="35">
        <v>721.8</v>
      </c>
      <c r="F71" s="34">
        <v>43188</v>
      </c>
    </row>
    <row r="72" spans="1:6" ht="15.75" x14ac:dyDescent="0.25">
      <c r="A72" s="35">
        <v>526150</v>
      </c>
      <c r="B72" s="35" t="s">
        <v>258</v>
      </c>
      <c r="C72" s="35" t="s">
        <v>1239</v>
      </c>
      <c r="D72" s="35" t="s">
        <v>1240</v>
      </c>
      <c r="E72" s="35">
        <v>59.8</v>
      </c>
      <c r="F72" s="34">
        <v>43189</v>
      </c>
    </row>
    <row r="73" spans="1:6" ht="15.75" x14ac:dyDescent="0.25">
      <c r="A73" s="35">
        <v>526120</v>
      </c>
      <c r="B73" s="35" t="s">
        <v>217</v>
      </c>
      <c r="C73" s="35" t="s">
        <v>1239</v>
      </c>
      <c r="D73" s="35" t="s">
        <v>1240</v>
      </c>
      <c r="E73" s="35">
        <v>182.16</v>
      </c>
      <c r="F73" s="34">
        <v>43189</v>
      </c>
    </row>
    <row r="74" spans="1:6" ht="15.75" x14ac:dyDescent="0.25">
      <c r="A74" s="35">
        <v>527410</v>
      </c>
      <c r="B74" s="35" t="s">
        <v>551</v>
      </c>
      <c r="C74" s="35" t="s">
        <v>209</v>
      </c>
      <c r="D74" s="35">
        <v>2000003988</v>
      </c>
      <c r="E74" s="35">
        <v>0</v>
      </c>
      <c r="F74" s="34">
        <v>43190</v>
      </c>
    </row>
    <row r="75" spans="1:6" ht="15.75" x14ac:dyDescent="0.25">
      <c r="A75" s="35">
        <v>558921</v>
      </c>
      <c r="B75" s="35" t="s">
        <v>262</v>
      </c>
      <c r="C75" s="35" t="s">
        <v>209</v>
      </c>
      <c r="D75" s="35">
        <v>2000003988</v>
      </c>
      <c r="E75" s="35">
        <v>0</v>
      </c>
      <c r="F75" s="34">
        <v>43190</v>
      </c>
    </row>
    <row r="76" spans="1:6" ht="15.75" x14ac:dyDescent="0.25">
      <c r="A76" s="35">
        <v>558921</v>
      </c>
      <c r="B76" s="35" t="s">
        <v>262</v>
      </c>
      <c r="C76" s="35" t="s">
        <v>209</v>
      </c>
      <c r="D76" s="35">
        <v>2000003988</v>
      </c>
      <c r="E76" s="35">
        <v>0</v>
      </c>
      <c r="F76" s="34">
        <v>43190</v>
      </c>
    </row>
    <row r="77" spans="1:6" ht="15.75" x14ac:dyDescent="0.25">
      <c r="A77" s="35">
        <v>558921</v>
      </c>
      <c r="B77" s="35" t="s">
        <v>262</v>
      </c>
      <c r="C77" s="35" t="s">
        <v>209</v>
      </c>
      <c r="D77" s="35">
        <v>2000003988</v>
      </c>
      <c r="E77" s="35">
        <v>0</v>
      </c>
      <c r="F77" s="34">
        <v>43190</v>
      </c>
    </row>
    <row r="78" spans="1:6" ht="15.75" x14ac:dyDescent="0.25">
      <c r="A78" s="35">
        <v>558921</v>
      </c>
      <c r="B78" s="35" t="s">
        <v>262</v>
      </c>
      <c r="C78" s="35" t="s">
        <v>209</v>
      </c>
      <c r="D78" s="35">
        <v>2000003988</v>
      </c>
      <c r="E78" s="35">
        <v>0</v>
      </c>
      <c r="F78" s="34">
        <v>43190</v>
      </c>
    </row>
    <row r="79" spans="1:6" ht="15.75" x14ac:dyDescent="0.25">
      <c r="A79" s="35">
        <v>558921</v>
      </c>
      <c r="B79" s="35" t="s">
        <v>262</v>
      </c>
      <c r="C79" s="35" t="s">
        <v>209</v>
      </c>
      <c r="D79" s="35">
        <v>2000003988</v>
      </c>
      <c r="E79" s="35">
        <v>0</v>
      </c>
      <c r="F79" s="34">
        <v>43190</v>
      </c>
    </row>
    <row r="80" spans="1:6" ht="15.75" x14ac:dyDescent="0.25">
      <c r="A80" s="35">
        <v>558921</v>
      </c>
      <c r="B80" s="35" t="s">
        <v>262</v>
      </c>
      <c r="C80" s="35" t="s">
        <v>209</v>
      </c>
      <c r="D80" s="35">
        <v>2000003988</v>
      </c>
      <c r="E80" s="35">
        <v>0</v>
      </c>
      <c r="F80" s="34">
        <v>43190</v>
      </c>
    </row>
    <row r="81" spans="1:6" ht="15.75" x14ac:dyDescent="0.25">
      <c r="A81" s="35">
        <v>558921</v>
      </c>
      <c r="B81" s="35" t="s">
        <v>262</v>
      </c>
      <c r="C81" s="35" t="s">
        <v>209</v>
      </c>
      <c r="D81" s="35">
        <v>2000003988</v>
      </c>
      <c r="E81" s="35">
        <v>0</v>
      </c>
      <c r="F81" s="34">
        <v>43190</v>
      </c>
    </row>
    <row r="82" spans="1:6" ht="15.75" x14ac:dyDescent="0.25">
      <c r="A82" s="35">
        <v>558921</v>
      </c>
      <c r="B82" s="35" t="s">
        <v>262</v>
      </c>
      <c r="C82" s="35" t="s">
        <v>209</v>
      </c>
      <c r="D82" s="35">
        <v>2000003988</v>
      </c>
      <c r="E82" s="35">
        <v>0</v>
      </c>
      <c r="F82" s="34">
        <v>43190</v>
      </c>
    </row>
    <row r="83" spans="1:6" ht="15.75" x14ac:dyDescent="0.25">
      <c r="A83" s="35">
        <v>527410</v>
      </c>
      <c r="B83" s="35" t="s">
        <v>551</v>
      </c>
      <c r="C83" s="35"/>
      <c r="D83" s="35">
        <v>1000004509</v>
      </c>
      <c r="E83" s="35">
        <v>0</v>
      </c>
      <c r="F83" s="34">
        <v>43190</v>
      </c>
    </row>
    <row r="84" spans="1:6" ht="15.75" x14ac:dyDescent="0.25">
      <c r="A84" s="35">
        <v>558921</v>
      </c>
      <c r="B84" s="35" t="s">
        <v>262</v>
      </c>
      <c r="C84" s="35"/>
      <c r="D84" s="35">
        <v>1000004509</v>
      </c>
      <c r="E84" s="35">
        <v>0</v>
      </c>
      <c r="F84" s="34">
        <v>43190</v>
      </c>
    </row>
    <row r="85" spans="1:6" ht="15.75" x14ac:dyDescent="0.25">
      <c r="A85" s="35">
        <v>558921</v>
      </c>
      <c r="B85" s="35" t="s">
        <v>262</v>
      </c>
      <c r="C85" s="35"/>
      <c r="D85" s="35">
        <v>1000004509</v>
      </c>
      <c r="E85" s="35">
        <v>0</v>
      </c>
      <c r="F85" s="34">
        <v>43190</v>
      </c>
    </row>
    <row r="86" spans="1:6" ht="15.75" x14ac:dyDescent="0.25">
      <c r="A86" s="35">
        <v>558921</v>
      </c>
      <c r="B86" s="35" t="s">
        <v>262</v>
      </c>
      <c r="C86" s="35"/>
      <c r="D86" s="35">
        <v>1000004509</v>
      </c>
      <c r="E86" s="35">
        <v>0</v>
      </c>
      <c r="F86" s="34">
        <v>43190</v>
      </c>
    </row>
    <row r="87" spans="1:6" ht="15.75" x14ac:dyDescent="0.25">
      <c r="A87" s="35">
        <v>558921</v>
      </c>
      <c r="B87" s="35" t="s">
        <v>262</v>
      </c>
      <c r="C87" s="35"/>
      <c r="D87" s="35">
        <v>1000004509</v>
      </c>
      <c r="E87" s="35">
        <v>0</v>
      </c>
      <c r="F87" s="34">
        <v>43190</v>
      </c>
    </row>
    <row r="88" spans="1:6" ht="15.75" x14ac:dyDescent="0.25">
      <c r="A88" s="35">
        <v>558921</v>
      </c>
      <c r="B88" s="35" t="s">
        <v>262</v>
      </c>
      <c r="C88" s="35"/>
      <c r="D88" s="35">
        <v>1000004509</v>
      </c>
      <c r="E88" s="35">
        <v>0</v>
      </c>
      <c r="F88" s="34">
        <v>43190</v>
      </c>
    </row>
    <row r="89" spans="1:6" ht="15.75" x14ac:dyDescent="0.25">
      <c r="A89" s="35">
        <v>558921</v>
      </c>
      <c r="B89" s="35" t="s">
        <v>262</v>
      </c>
      <c r="C89" s="35"/>
      <c r="D89" s="35">
        <v>1000004509</v>
      </c>
      <c r="E89" s="35">
        <v>0</v>
      </c>
      <c r="F89" s="34">
        <v>43190</v>
      </c>
    </row>
    <row r="90" spans="1:6" ht="15.75" x14ac:dyDescent="0.25">
      <c r="A90" s="35">
        <v>558921</v>
      </c>
      <c r="B90" s="35" t="s">
        <v>262</v>
      </c>
      <c r="C90" s="35"/>
      <c r="D90" s="35">
        <v>1000004509</v>
      </c>
      <c r="E90" s="35">
        <v>0</v>
      </c>
      <c r="F90" s="34">
        <v>43190</v>
      </c>
    </row>
    <row r="91" spans="1:6" ht="15.75" x14ac:dyDescent="0.25">
      <c r="A91" s="35">
        <v>558921</v>
      </c>
      <c r="B91" s="35" t="s">
        <v>262</v>
      </c>
      <c r="C91" s="35"/>
      <c r="D91" s="35">
        <v>1000004509</v>
      </c>
      <c r="E91" s="35">
        <v>0</v>
      </c>
      <c r="F91" s="34">
        <v>43190</v>
      </c>
    </row>
    <row r="92" spans="1:6" ht="15.75" x14ac:dyDescent="0.25">
      <c r="A92" s="35">
        <v>558921</v>
      </c>
      <c r="B92" s="35" t="s">
        <v>262</v>
      </c>
      <c r="C92" s="35" t="s">
        <v>209</v>
      </c>
      <c r="D92" s="35">
        <v>2000003988</v>
      </c>
      <c r="E92" s="35">
        <v>30</v>
      </c>
      <c r="F92" s="34">
        <v>43190</v>
      </c>
    </row>
    <row r="93" spans="1:6" ht="15.75" x14ac:dyDescent="0.25">
      <c r="A93" s="35">
        <v>558921</v>
      </c>
      <c r="B93" s="35" t="s">
        <v>262</v>
      </c>
      <c r="C93" s="35"/>
      <c r="D93" s="35">
        <v>1000004509</v>
      </c>
      <c r="E93" s="35">
        <v>30</v>
      </c>
      <c r="F93" s="34">
        <v>43190</v>
      </c>
    </row>
    <row r="94" spans="1:6" ht="15.75" x14ac:dyDescent="0.25">
      <c r="A94" s="35">
        <v>558921</v>
      </c>
      <c r="B94" s="35" t="s">
        <v>262</v>
      </c>
      <c r="C94" s="35" t="s">
        <v>209</v>
      </c>
      <c r="D94" s="35">
        <v>2000003988</v>
      </c>
      <c r="E94" s="35">
        <v>40</v>
      </c>
      <c r="F94" s="34">
        <v>43190</v>
      </c>
    </row>
    <row r="95" spans="1:6" ht="15.75" x14ac:dyDescent="0.25">
      <c r="A95" s="35">
        <v>558921</v>
      </c>
      <c r="B95" s="35" t="s">
        <v>262</v>
      </c>
      <c r="C95" s="35" t="s">
        <v>209</v>
      </c>
      <c r="D95" s="35">
        <v>2000003988</v>
      </c>
      <c r="E95" s="35">
        <v>40</v>
      </c>
      <c r="F95" s="34">
        <v>43190</v>
      </c>
    </row>
    <row r="96" spans="1:6" ht="15.75" x14ac:dyDescent="0.25">
      <c r="A96" s="35">
        <v>558921</v>
      </c>
      <c r="B96" s="35" t="s">
        <v>262</v>
      </c>
      <c r="C96" s="35"/>
      <c r="D96" s="35">
        <v>1000004509</v>
      </c>
      <c r="E96" s="35">
        <v>40</v>
      </c>
      <c r="F96" s="34">
        <v>43190</v>
      </c>
    </row>
    <row r="97" spans="1:6" ht="15.75" x14ac:dyDescent="0.25">
      <c r="A97" s="35">
        <v>558921</v>
      </c>
      <c r="B97" s="35" t="s">
        <v>262</v>
      </c>
      <c r="C97" s="35"/>
      <c r="D97" s="35">
        <v>1000004509</v>
      </c>
      <c r="E97" s="35">
        <v>40</v>
      </c>
      <c r="F97" s="34">
        <v>43190</v>
      </c>
    </row>
    <row r="98" spans="1:6" ht="15.75" x14ac:dyDescent="0.25">
      <c r="A98" s="35">
        <v>527410</v>
      </c>
      <c r="B98" s="35" t="s">
        <v>551</v>
      </c>
      <c r="C98" s="35" t="s">
        <v>209</v>
      </c>
      <c r="D98" s="35">
        <v>2000003988</v>
      </c>
      <c r="E98" s="35">
        <v>134.85</v>
      </c>
      <c r="F98" s="34">
        <v>43190</v>
      </c>
    </row>
    <row r="99" spans="1:6" ht="15.75" x14ac:dyDescent="0.25">
      <c r="A99" s="35">
        <v>527410</v>
      </c>
      <c r="B99" s="35" t="s">
        <v>551</v>
      </c>
      <c r="C99" s="35"/>
      <c r="D99" s="35">
        <v>1000004509</v>
      </c>
      <c r="E99" s="35">
        <v>134.85</v>
      </c>
      <c r="F99" s="34">
        <v>43190</v>
      </c>
    </row>
    <row r="100" spans="1:6" ht="15.75" x14ac:dyDescent="0.25">
      <c r="A100" s="35">
        <v>558921</v>
      </c>
      <c r="B100" s="35" t="s">
        <v>262</v>
      </c>
      <c r="C100" s="35" t="s">
        <v>209</v>
      </c>
      <c r="D100" s="35">
        <v>2000003988</v>
      </c>
      <c r="E100" s="35">
        <v>245</v>
      </c>
      <c r="F100" s="34">
        <v>43190</v>
      </c>
    </row>
    <row r="101" spans="1:6" ht="15.75" x14ac:dyDescent="0.25">
      <c r="A101" s="35">
        <v>558921</v>
      </c>
      <c r="B101" s="35" t="s">
        <v>262</v>
      </c>
      <c r="C101" s="35"/>
      <c r="D101" s="35">
        <v>1000004509</v>
      </c>
      <c r="E101" s="35">
        <v>245</v>
      </c>
      <c r="F101" s="34">
        <v>43190</v>
      </c>
    </row>
    <row r="102" spans="1:6" ht="15.75" x14ac:dyDescent="0.25">
      <c r="A102" s="35">
        <v>558921</v>
      </c>
      <c r="B102" s="35" t="s">
        <v>262</v>
      </c>
      <c r="C102" s="35" t="s">
        <v>209</v>
      </c>
      <c r="D102" s="35">
        <v>2000003988</v>
      </c>
      <c r="E102" s="35">
        <v>275</v>
      </c>
      <c r="F102" s="34">
        <v>43190</v>
      </c>
    </row>
    <row r="103" spans="1:6" ht="15.75" x14ac:dyDescent="0.25">
      <c r="A103" s="35">
        <v>558921</v>
      </c>
      <c r="B103" s="35" t="s">
        <v>262</v>
      </c>
      <c r="C103" s="35"/>
      <c r="D103" s="35">
        <v>1000004509</v>
      </c>
      <c r="E103" s="35">
        <v>275</v>
      </c>
      <c r="F103" s="34">
        <v>43190</v>
      </c>
    </row>
    <row r="104" spans="1:6" ht="15.75" x14ac:dyDescent="0.25">
      <c r="A104" s="35">
        <v>558921</v>
      </c>
      <c r="B104" s="35" t="s">
        <v>262</v>
      </c>
      <c r="C104" s="35" t="s">
        <v>209</v>
      </c>
      <c r="D104" s="35">
        <v>2000003988</v>
      </c>
      <c r="E104" s="35">
        <v>282</v>
      </c>
      <c r="F104" s="34">
        <v>43190</v>
      </c>
    </row>
    <row r="105" spans="1:6" ht="15.75" x14ac:dyDescent="0.25">
      <c r="A105" s="35">
        <v>558921</v>
      </c>
      <c r="B105" s="35" t="s">
        <v>262</v>
      </c>
      <c r="C105" s="35"/>
      <c r="D105" s="35">
        <v>1000004509</v>
      </c>
      <c r="E105" s="35">
        <v>282</v>
      </c>
      <c r="F105" s="34">
        <v>43190</v>
      </c>
    </row>
    <row r="106" spans="1:6" ht="15.75" x14ac:dyDescent="0.25">
      <c r="A106" s="35">
        <v>558921</v>
      </c>
      <c r="B106" s="35" t="s">
        <v>262</v>
      </c>
      <c r="C106" s="35" t="s">
        <v>209</v>
      </c>
      <c r="D106" s="35">
        <v>2000003988</v>
      </c>
      <c r="E106" s="35">
        <v>897</v>
      </c>
      <c r="F106" s="34">
        <v>43190</v>
      </c>
    </row>
    <row r="107" spans="1:6" ht="15.75" x14ac:dyDescent="0.25">
      <c r="A107" s="35">
        <v>558921</v>
      </c>
      <c r="B107" s="35" t="s">
        <v>262</v>
      </c>
      <c r="C107" s="35"/>
      <c r="D107" s="35">
        <v>1000004509</v>
      </c>
      <c r="E107" s="35">
        <v>897</v>
      </c>
      <c r="F107" s="34">
        <v>43190</v>
      </c>
    </row>
    <row r="108" spans="1:6" ht="15.75" x14ac:dyDescent="0.25">
      <c r="A108" s="35">
        <v>558921</v>
      </c>
      <c r="B108" s="35" t="s">
        <v>262</v>
      </c>
      <c r="C108" s="35" t="s">
        <v>209</v>
      </c>
      <c r="D108" s="35">
        <v>2000003988</v>
      </c>
      <c r="E108" s="35">
        <v>990</v>
      </c>
      <c r="F108" s="34">
        <v>43190</v>
      </c>
    </row>
    <row r="109" spans="1:6" ht="15.75" x14ac:dyDescent="0.25">
      <c r="A109" s="35">
        <v>558921</v>
      </c>
      <c r="B109" s="35" t="s">
        <v>262</v>
      </c>
      <c r="C109" s="35"/>
      <c r="D109" s="35">
        <v>1000004509</v>
      </c>
      <c r="E109" s="35">
        <v>990</v>
      </c>
      <c r="F109" s="34">
        <v>43190</v>
      </c>
    </row>
  </sheetData>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09F4B-2383-4305-B8DA-7F155AB81B1D}">
  <dimension ref="A1:F82"/>
  <sheetViews>
    <sheetView workbookViewId="0">
      <selection activeCell="C16" sqref="C16"/>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527120</v>
      </c>
      <c r="B2" s="35" t="s">
        <v>143</v>
      </c>
      <c r="C2" s="35" t="s">
        <v>144</v>
      </c>
      <c r="D2" s="35" t="s">
        <v>1095</v>
      </c>
      <c r="E2" s="35">
        <v>-14.5</v>
      </c>
      <c r="F2" s="34">
        <v>43132</v>
      </c>
    </row>
    <row r="3" spans="1:6" ht="15.75" x14ac:dyDescent="0.25">
      <c r="A3" s="35">
        <v>527120</v>
      </c>
      <c r="B3" s="35" t="s">
        <v>143</v>
      </c>
      <c r="C3" s="35" t="s">
        <v>144</v>
      </c>
      <c r="D3" s="35" t="s">
        <v>1095</v>
      </c>
      <c r="E3" s="35">
        <v>-14.5</v>
      </c>
      <c r="F3" s="34">
        <v>43132</v>
      </c>
    </row>
    <row r="4" spans="1:6" ht="15.75" x14ac:dyDescent="0.25">
      <c r="A4" s="35">
        <v>527120</v>
      </c>
      <c r="B4" s="35" t="s">
        <v>143</v>
      </c>
      <c r="C4" s="35" t="s">
        <v>144</v>
      </c>
      <c r="D4" s="35" t="s">
        <v>1095</v>
      </c>
      <c r="E4" s="35">
        <v>14.5</v>
      </c>
      <c r="F4" s="34">
        <v>43132</v>
      </c>
    </row>
    <row r="5" spans="1:6" ht="15.75" x14ac:dyDescent="0.25">
      <c r="A5" s="35">
        <v>527120</v>
      </c>
      <c r="B5" s="35" t="s">
        <v>143</v>
      </c>
      <c r="C5" s="35" t="s">
        <v>144</v>
      </c>
      <c r="D5" s="35" t="s">
        <v>1095</v>
      </c>
      <c r="E5" s="35">
        <v>14.5</v>
      </c>
      <c r="F5" s="34">
        <v>43132</v>
      </c>
    </row>
    <row r="6" spans="1:6" ht="15.75" x14ac:dyDescent="0.25">
      <c r="A6" s="35">
        <v>527120</v>
      </c>
      <c r="B6" s="35" t="s">
        <v>143</v>
      </c>
      <c r="C6" s="35" t="s">
        <v>144</v>
      </c>
      <c r="D6" s="35" t="s">
        <v>1095</v>
      </c>
      <c r="E6" s="35">
        <v>14.5</v>
      </c>
      <c r="F6" s="34">
        <v>43132</v>
      </c>
    </row>
    <row r="7" spans="1:6" ht="15.75" x14ac:dyDescent="0.25">
      <c r="A7" s="35">
        <v>527120</v>
      </c>
      <c r="B7" s="35" t="s">
        <v>143</v>
      </c>
      <c r="C7" s="35" t="s">
        <v>144</v>
      </c>
      <c r="D7" s="35" t="s">
        <v>1095</v>
      </c>
      <c r="E7" s="35">
        <v>14.5</v>
      </c>
      <c r="F7" s="34">
        <v>43132</v>
      </c>
    </row>
    <row r="8" spans="1:6" ht="15.75" x14ac:dyDescent="0.25">
      <c r="A8" s="35">
        <v>526712</v>
      </c>
      <c r="B8" s="35" t="s">
        <v>14</v>
      </c>
      <c r="C8" s="35" t="s">
        <v>288</v>
      </c>
      <c r="D8" s="35" t="s">
        <v>1096</v>
      </c>
      <c r="E8" s="35">
        <v>86.88</v>
      </c>
      <c r="F8" s="34">
        <v>43132</v>
      </c>
    </row>
    <row r="9" spans="1:6" ht="15.75" x14ac:dyDescent="0.25">
      <c r="A9" s="35">
        <v>487110</v>
      </c>
      <c r="B9" s="35" t="s">
        <v>36</v>
      </c>
      <c r="C9" s="35" t="s">
        <v>1097</v>
      </c>
      <c r="D9" s="35" t="s">
        <v>1098</v>
      </c>
      <c r="E9" s="35">
        <v>12097.45</v>
      </c>
      <c r="F9" s="34">
        <v>43133</v>
      </c>
    </row>
    <row r="10" spans="1:6" ht="15.75" x14ac:dyDescent="0.25">
      <c r="A10" s="35">
        <v>487110</v>
      </c>
      <c r="B10" s="35" t="s">
        <v>36</v>
      </c>
      <c r="C10" s="35" t="s">
        <v>1099</v>
      </c>
      <c r="D10" s="35" t="s">
        <v>1100</v>
      </c>
      <c r="E10" s="35">
        <v>2361</v>
      </c>
      <c r="F10" s="34">
        <v>43138</v>
      </c>
    </row>
    <row r="11" spans="1:6" ht="15.75" x14ac:dyDescent="0.25">
      <c r="A11" s="35">
        <v>558921</v>
      </c>
      <c r="B11" s="35" t="s">
        <v>262</v>
      </c>
      <c r="C11" s="35" t="s">
        <v>924</v>
      </c>
      <c r="D11" s="35" t="s">
        <v>1101</v>
      </c>
      <c r="E11" s="35">
        <v>77.13</v>
      </c>
      <c r="F11" s="34">
        <v>43139</v>
      </c>
    </row>
    <row r="12" spans="1:6" ht="15.75" x14ac:dyDescent="0.25">
      <c r="A12" s="35">
        <v>487110</v>
      </c>
      <c r="B12" s="35" t="s">
        <v>36</v>
      </c>
      <c r="C12" s="35" t="s">
        <v>1102</v>
      </c>
      <c r="D12" s="35" t="s">
        <v>1103</v>
      </c>
      <c r="E12" s="35">
        <v>12504.02</v>
      </c>
      <c r="F12" s="34">
        <v>43139</v>
      </c>
    </row>
    <row r="13" spans="1:6" ht="15.75" x14ac:dyDescent="0.25">
      <c r="A13" s="35">
        <v>487110</v>
      </c>
      <c r="B13" s="35" t="s">
        <v>36</v>
      </c>
      <c r="C13" s="35" t="s">
        <v>1104</v>
      </c>
      <c r="D13" s="35" t="s">
        <v>1105</v>
      </c>
      <c r="E13" s="35">
        <v>1604.58</v>
      </c>
      <c r="F13" s="34">
        <v>43143</v>
      </c>
    </row>
    <row r="14" spans="1:6" ht="15.75" x14ac:dyDescent="0.25">
      <c r="A14" s="35">
        <v>487110</v>
      </c>
      <c r="B14" s="35" t="s">
        <v>36</v>
      </c>
      <c r="C14" s="35" t="s">
        <v>1106</v>
      </c>
      <c r="D14" s="35" t="s">
        <v>1107</v>
      </c>
      <c r="E14" s="35">
        <v>8013.51</v>
      </c>
      <c r="F14" s="34">
        <v>43143</v>
      </c>
    </row>
    <row r="15" spans="1:6" ht="15.75" x14ac:dyDescent="0.25">
      <c r="A15" s="35">
        <v>487110</v>
      </c>
      <c r="B15" s="35" t="s">
        <v>36</v>
      </c>
      <c r="C15" s="35" t="s">
        <v>1108</v>
      </c>
      <c r="D15" s="35" t="s">
        <v>1109</v>
      </c>
      <c r="E15" s="35">
        <v>11959.69</v>
      </c>
      <c r="F15" s="34">
        <v>43143</v>
      </c>
    </row>
    <row r="16" spans="1:6" ht="15.75" x14ac:dyDescent="0.25">
      <c r="A16" s="35">
        <v>487110</v>
      </c>
      <c r="B16" s="35" t="s">
        <v>36</v>
      </c>
      <c r="C16" s="35" t="s">
        <v>1110</v>
      </c>
      <c r="D16" s="35" t="s">
        <v>1111</v>
      </c>
      <c r="E16" s="35">
        <v>13820.6</v>
      </c>
      <c r="F16" s="34">
        <v>43145</v>
      </c>
    </row>
    <row r="17" spans="1:6" ht="15.75" x14ac:dyDescent="0.25">
      <c r="A17" s="35">
        <v>487110</v>
      </c>
      <c r="B17" s="35" t="s">
        <v>36</v>
      </c>
      <c r="C17" s="35" t="s">
        <v>1112</v>
      </c>
      <c r="D17" s="35" t="s">
        <v>1113</v>
      </c>
      <c r="E17" s="35">
        <v>2509.15</v>
      </c>
      <c r="F17" s="34">
        <v>43146</v>
      </c>
    </row>
    <row r="18" spans="1:6" ht="15.75" x14ac:dyDescent="0.25">
      <c r="A18" s="35">
        <v>487110</v>
      </c>
      <c r="B18" s="35" t="s">
        <v>36</v>
      </c>
      <c r="C18" s="35" t="s">
        <v>1114</v>
      </c>
      <c r="D18" s="35" t="s">
        <v>1115</v>
      </c>
      <c r="E18" s="35">
        <v>8251.85</v>
      </c>
      <c r="F18" s="34">
        <v>43146</v>
      </c>
    </row>
    <row r="19" spans="1:6" ht="15.75" x14ac:dyDescent="0.25">
      <c r="A19" s="35">
        <v>558979</v>
      </c>
      <c r="B19" s="35" t="s">
        <v>150</v>
      </c>
      <c r="C19" s="35" t="s">
        <v>952</v>
      </c>
      <c r="D19" s="35" t="s">
        <v>1116</v>
      </c>
      <c r="E19" s="35">
        <v>125</v>
      </c>
      <c r="F19" s="34">
        <v>43147</v>
      </c>
    </row>
    <row r="20" spans="1:6" ht="15.75" x14ac:dyDescent="0.25">
      <c r="A20" s="35">
        <v>558979</v>
      </c>
      <c r="B20" s="35" t="s">
        <v>150</v>
      </c>
      <c r="C20" s="35" t="s">
        <v>956</v>
      </c>
      <c r="D20" s="35" t="s">
        <v>1117</v>
      </c>
      <c r="E20" s="35">
        <v>125</v>
      </c>
      <c r="F20" s="34">
        <v>43147</v>
      </c>
    </row>
    <row r="21" spans="1:6" ht="15.75" x14ac:dyDescent="0.25">
      <c r="A21" s="35">
        <v>558979</v>
      </c>
      <c r="B21" s="35" t="s">
        <v>150</v>
      </c>
      <c r="C21" s="35" t="s">
        <v>961</v>
      </c>
      <c r="D21" s="35" t="s">
        <v>1118</v>
      </c>
      <c r="E21" s="35">
        <v>125</v>
      </c>
      <c r="F21" s="34">
        <v>43147</v>
      </c>
    </row>
    <row r="22" spans="1:6" ht="15.75" x14ac:dyDescent="0.25">
      <c r="A22" s="35">
        <v>558979</v>
      </c>
      <c r="B22" s="35" t="s">
        <v>150</v>
      </c>
      <c r="C22" s="35" t="s">
        <v>927</v>
      </c>
      <c r="D22" s="35" t="s">
        <v>1119</v>
      </c>
      <c r="E22" s="35">
        <v>125</v>
      </c>
      <c r="F22" s="34">
        <v>43147</v>
      </c>
    </row>
    <row r="23" spans="1:6" ht="15.75" x14ac:dyDescent="0.25">
      <c r="A23" s="35">
        <v>558979</v>
      </c>
      <c r="B23" s="35" t="s">
        <v>150</v>
      </c>
      <c r="C23" s="35" t="s">
        <v>949</v>
      </c>
      <c r="D23" s="35" t="s">
        <v>1120</v>
      </c>
      <c r="E23" s="35">
        <v>125</v>
      </c>
      <c r="F23" s="34">
        <v>43147</v>
      </c>
    </row>
    <row r="24" spans="1:6" ht="15.75" x14ac:dyDescent="0.25">
      <c r="A24" s="35">
        <v>558979</v>
      </c>
      <c r="B24" s="35" t="s">
        <v>150</v>
      </c>
      <c r="C24" s="35" t="s">
        <v>947</v>
      </c>
      <c r="D24" s="35" t="s">
        <v>1121</v>
      </c>
      <c r="E24" s="35">
        <v>125</v>
      </c>
      <c r="F24" s="34">
        <v>43147</v>
      </c>
    </row>
    <row r="25" spans="1:6" ht="15.75" x14ac:dyDescent="0.25">
      <c r="A25" s="35">
        <v>558979</v>
      </c>
      <c r="B25" s="35" t="s">
        <v>150</v>
      </c>
      <c r="C25" s="35" t="s">
        <v>323</v>
      </c>
      <c r="D25" s="35" t="s">
        <v>1122</v>
      </c>
      <c r="E25" s="35">
        <v>125</v>
      </c>
      <c r="F25" s="34">
        <v>43147</v>
      </c>
    </row>
    <row r="26" spans="1:6" ht="15.75" x14ac:dyDescent="0.25">
      <c r="A26" s="35">
        <v>558979</v>
      </c>
      <c r="B26" s="35" t="s">
        <v>150</v>
      </c>
      <c r="C26" s="35" t="s">
        <v>942</v>
      </c>
      <c r="D26" s="35" t="s">
        <v>1123</v>
      </c>
      <c r="E26" s="35">
        <v>125</v>
      </c>
      <c r="F26" s="34">
        <v>43147</v>
      </c>
    </row>
    <row r="27" spans="1:6" ht="15.75" x14ac:dyDescent="0.25">
      <c r="A27" s="35">
        <v>558979</v>
      </c>
      <c r="B27" s="35" t="s">
        <v>150</v>
      </c>
      <c r="C27" s="35" t="s">
        <v>311</v>
      </c>
      <c r="D27" s="35" t="s">
        <v>1124</v>
      </c>
      <c r="E27" s="35">
        <v>125</v>
      </c>
      <c r="F27" s="34">
        <v>43147</v>
      </c>
    </row>
    <row r="28" spans="1:6" ht="15.75" x14ac:dyDescent="0.25">
      <c r="A28" s="35">
        <v>558979</v>
      </c>
      <c r="B28" s="35" t="s">
        <v>150</v>
      </c>
      <c r="C28" s="35" t="s">
        <v>309</v>
      </c>
      <c r="D28" s="35" t="s">
        <v>1125</v>
      </c>
      <c r="E28" s="35">
        <v>125</v>
      </c>
      <c r="F28" s="34">
        <v>43147</v>
      </c>
    </row>
    <row r="29" spans="1:6" ht="15.75" x14ac:dyDescent="0.25">
      <c r="A29" s="35">
        <v>558979</v>
      </c>
      <c r="B29" s="35" t="s">
        <v>150</v>
      </c>
      <c r="C29" s="35" t="s">
        <v>1001</v>
      </c>
      <c r="D29" s="35" t="s">
        <v>1126</v>
      </c>
      <c r="E29" s="35">
        <v>125</v>
      </c>
      <c r="F29" s="34">
        <v>43147</v>
      </c>
    </row>
    <row r="30" spans="1:6" ht="15.75" x14ac:dyDescent="0.25">
      <c r="A30" s="35">
        <v>558979</v>
      </c>
      <c r="B30" s="35" t="s">
        <v>150</v>
      </c>
      <c r="C30" s="35" t="s">
        <v>1062</v>
      </c>
      <c r="D30" s="35" t="s">
        <v>1127</v>
      </c>
      <c r="E30" s="35">
        <v>150</v>
      </c>
      <c r="F30" s="34">
        <v>43147</v>
      </c>
    </row>
    <row r="31" spans="1:6" ht="15.75" x14ac:dyDescent="0.25">
      <c r="A31" s="35">
        <v>558979</v>
      </c>
      <c r="B31" s="35" t="s">
        <v>150</v>
      </c>
      <c r="C31" s="35" t="s">
        <v>771</v>
      </c>
      <c r="D31" s="35" t="s">
        <v>1128</v>
      </c>
      <c r="E31" s="35">
        <v>200</v>
      </c>
      <c r="F31" s="34">
        <v>43147</v>
      </c>
    </row>
    <row r="32" spans="1:6" ht="15.75" x14ac:dyDescent="0.25">
      <c r="A32" s="35">
        <v>558979</v>
      </c>
      <c r="B32" s="35" t="s">
        <v>150</v>
      </c>
      <c r="C32" s="35" t="s">
        <v>853</v>
      </c>
      <c r="D32" s="35" t="s">
        <v>1129</v>
      </c>
      <c r="E32" s="35">
        <v>200</v>
      </c>
      <c r="F32" s="34">
        <v>43147</v>
      </c>
    </row>
    <row r="33" spans="1:6" ht="15.75" x14ac:dyDescent="0.25">
      <c r="A33" s="35">
        <v>558979</v>
      </c>
      <c r="B33" s="35" t="s">
        <v>150</v>
      </c>
      <c r="C33" s="35" t="s">
        <v>767</v>
      </c>
      <c r="D33" s="35" t="s">
        <v>1130</v>
      </c>
      <c r="E33" s="35">
        <v>200</v>
      </c>
      <c r="F33" s="34">
        <v>43147</v>
      </c>
    </row>
    <row r="34" spans="1:6" ht="15.75" x14ac:dyDescent="0.25">
      <c r="A34" s="35">
        <v>558979</v>
      </c>
      <c r="B34" s="35" t="s">
        <v>150</v>
      </c>
      <c r="C34" s="35" t="s">
        <v>783</v>
      </c>
      <c r="D34" s="35" t="s">
        <v>1131</v>
      </c>
      <c r="E34" s="35">
        <v>200</v>
      </c>
      <c r="F34" s="34">
        <v>43147</v>
      </c>
    </row>
    <row r="35" spans="1:6" ht="15.75" x14ac:dyDescent="0.25">
      <c r="A35" s="35">
        <v>558979</v>
      </c>
      <c r="B35" s="35" t="s">
        <v>150</v>
      </c>
      <c r="C35" s="35" t="s">
        <v>781</v>
      </c>
      <c r="D35" s="35" t="s">
        <v>1132</v>
      </c>
      <c r="E35" s="35">
        <v>200</v>
      </c>
      <c r="F35" s="34">
        <v>43147</v>
      </c>
    </row>
    <row r="36" spans="1:6" ht="15.75" x14ac:dyDescent="0.25">
      <c r="A36" s="35">
        <v>558979</v>
      </c>
      <c r="B36" s="35" t="s">
        <v>150</v>
      </c>
      <c r="C36" s="35" t="s">
        <v>787</v>
      </c>
      <c r="D36" s="35" t="s">
        <v>1133</v>
      </c>
      <c r="E36" s="35">
        <v>225</v>
      </c>
      <c r="F36" s="34">
        <v>43147</v>
      </c>
    </row>
    <row r="37" spans="1:6" ht="15.75" x14ac:dyDescent="0.25">
      <c r="A37" s="35">
        <v>558979</v>
      </c>
      <c r="B37" s="35" t="s">
        <v>150</v>
      </c>
      <c r="C37" s="35" t="s">
        <v>787</v>
      </c>
      <c r="D37" s="35" t="s">
        <v>1133</v>
      </c>
      <c r="E37" s="35">
        <v>225</v>
      </c>
      <c r="F37" s="34">
        <v>43147</v>
      </c>
    </row>
    <row r="38" spans="1:6" ht="15.75" x14ac:dyDescent="0.25">
      <c r="A38" s="35">
        <v>558979</v>
      </c>
      <c r="B38" s="35" t="s">
        <v>150</v>
      </c>
      <c r="C38" s="35" t="s">
        <v>342</v>
      </c>
      <c r="D38" s="35" t="s">
        <v>1134</v>
      </c>
      <c r="E38" s="35">
        <v>400</v>
      </c>
      <c r="F38" s="34">
        <v>43147</v>
      </c>
    </row>
    <row r="39" spans="1:6" ht="15.75" x14ac:dyDescent="0.25">
      <c r="A39" s="35">
        <v>558979</v>
      </c>
      <c r="B39" s="35" t="s">
        <v>150</v>
      </c>
      <c r="C39" s="35" t="s">
        <v>232</v>
      </c>
      <c r="D39" s="35" t="s">
        <v>1135</v>
      </c>
      <c r="E39" s="35">
        <v>650</v>
      </c>
      <c r="F39" s="34">
        <v>43147</v>
      </c>
    </row>
    <row r="40" spans="1:6" ht="15.75" x14ac:dyDescent="0.25">
      <c r="A40" s="35">
        <v>487110</v>
      </c>
      <c r="B40" s="35" t="s">
        <v>36</v>
      </c>
      <c r="C40" s="35" t="s">
        <v>1136</v>
      </c>
      <c r="D40" s="35" t="s">
        <v>1137</v>
      </c>
      <c r="E40" s="35">
        <v>4453.07</v>
      </c>
      <c r="F40" s="34">
        <v>43147</v>
      </c>
    </row>
    <row r="41" spans="1:6" ht="15.75" x14ac:dyDescent="0.25">
      <c r="A41" s="35">
        <v>526712</v>
      </c>
      <c r="B41" s="35" t="s">
        <v>14</v>
      </c>
      <c r="C41" s="35" t="s">
        <v>853</v>
      </c>
      <c r="D41" s="35" t="s">
        <v>1138</v>
      </c>
      <c r="E41" s="35">
        <v>2.1800000000000002</v>
      </c>
      <c r="F41" s="34">
        <v>43149</v>
      </c>
    </row>
    <row r="42" spans="1:6" ht="15.75" x14ac:dyDescent="0.25">
      <c r="A42" s="35">
        <v>526712</v>
      </c>
      <c r="B42" s="35" t="s">
        <v>14</v>
      </c>
      <c r="C42" s="35" t="s">
        <v>767</v>
      </c>
      <c r="D42" s="35" t="s">
        <v>1139</v>
      </c>
      <c r="E42" s="35">
        <v>50.16</v>
      </c>
      <c r="F42" s="34">
        <v>43149</v>
      </c>
    </row>
    <row r="43" spans="1:6" ht="15.75" x14ac:dyDescent="0.25">
      <c r="A43" s="35">
        <v>526712</v>
      </c>
      <c r="B43" s="35" t="s">
        <v>14</v>
      </c>
      <c r="C43" s="35" t="s">
        <v>922</v>
      </c>
      <c r="D43" s="35" t="s">
        <v>1140</v>
      </c>
      <c r="E43" s="35">
        <v>50.16</v>
      </c>
      <c r="F43" s="34">
        <v>43149</v>
      </c>
    </row>
    <row r="44" spans="1:6" ht="15.75" x14ac:dyDescent="0.25">
      <c r="A44" s="35">
        <v>526712</v>
      </c>
      <c r="B44" s="35" t="s">
        <v>14</v>
      </c>
      <c r="C44" s="35" t="s">
        <v>783</v>
      </c>
      <c r="D44" s="35" t="s">
        <v>1141</v>
      </c>
      <c r="E44" s="35">
        <v>66</v>
      </c>
      <c r="F44" s="34">
        <v>43149</v>
      </c>
    </row>
    <row r="45" spans="1:6" ht="15.75" x14ac:dyDescent="0.25">
      <c r="A45" s="35">
        <v>526712</v>
      </c>
      <c r="B45" s="35" t="s">
        <v>14</v>
      </c>
      <c r="C45" s="35" t="s">
        <v>942</v>
      </c>
      <c r="D45" s="35" t="s">
        <v>1142</v>
      </c>
      <c r="E45" s="35">
        <v>66</v>
      </c>
      <c r="F45" s="34">
        <v>43149</v>
      </c>
    </row>
    <row r="46" spans="1:6" ht="15.75" x14ac:dyDescent="0.25">
      <c r="A46" s="35">
        <v>526712</v>
      </c>
      <c r="B46" s="35" t="s">
        <v>14</v>
      </c>
      <c r="C46" s="35" t="s">
        <v>781</v>
      </c>
      <c r="D46" s="35" t="s">
        <v>1143</v>
      </c>
      <c r="E46" s="35">
        <v>74.12</v>
      </c>
      <c r="F46" s="34">
        <v>43149</v>
      </c>
    </row>
    <row r="47" spans="1:6" ht="15.75" x14ac:dyDescent="0.25">
      <c r="A47" s="35">
        <v>526712</v>
      </c>
      <c r="B47" s="35" t="s">
        <v>14</v>
      </c>
      <c r="C47" s="35" t="s">
        <v>309</v>
      </c>
      <c r="D47" s="35" t="s">
        <v>1144</v>
      </c>
      <c r="E47" s="35">
        <v>88.3</v>
      </c>
      <c r="F47" s="34">
        <v>43149</v>
      </c>
    </row>
    <row r="48" spans="1:6" ht="15.75" x14ac:dyDescent="0.25">
      <c r="A48" s="35">
        <v>526712</v>
      </c>
      <c r="B48" s="35" t="s">
        <v>14</v>
      </c>
      <c r="C48" s="35" t="s">
        <v>311</v>
      </c>
      <c r="D48" s="35" t="s">
        <v>1145</v>
      </c>
      <c r="E48" s="35">
        <v>93.72</v>
      </c>
      <c r="F48" s="34">
        <v>43149</v>
      </c>
    </row>
    <row r="49" spans="1:6" ht="15.75" x14ac:dyDescent="0.25">
      <c r="A49" s="35">
        <v>526712</v>
      </c>
      <c r="B49" s="35" t="s">
        <v>14</v>
      </c>
      <c r="C49" s="35" t="s">
        <v>232</v>
      </c>
      <c r="D49" s="35" t="s">
        <v>1146</v>
      </c>
      <c r="E49" s="35">
        <v>94.84</v>
      </c>
      <c r="F49" s="34">
        <v>43149</v>
      </c>
    </row>
    <row r="50" spans="1:6" ht="15.75" x14ac:dyDescent="0.25">
      <c r="A50" s="35">
        <v>558979</v>
      </c>
      <c r="B50" s="35" t="s">
        <v>150</v>
      </c>
      <c r="C50" s="35" t="s">
        <v>787</v>
      </c>
      <c r="D50" s="35" t="s">
        <v>1133</v>
      </c>
      <c r="E50" s="35">
        <v>-225</v>
      </c>
      <c r="F50" s="34">
        <v>43151</v>
      </c>
    </row>
    <row r="51" spans="1:6" ht="15.75" x14ac:dyDescent="0.25">
      <c r="A51" s="35">
        <v>558979</v>
      </c>
      <c r="B51" s="35" t="s">
        <v>150</v>
      </c>
      <c r="C51" s="35" t="s">
        <v>787</v>
      </c>
      <c r="D51" s="35" t="s">
        <v>1133</v>
      </c>
      <c r="E51" s="35">
        <v>-225</v>
      </c>
      <c r="F51" s="34">
        <v>43151</v>
      </c>
    </row>
    <row r="52" spans="1:6" ht="15.75" x14ac:dyDescent="0.25">
      <c r="A52" s="35">
        <v>526712</v>
      </c>
      <c r="B52" s="35" t="s">
        <v>14</v>
      </c>
      <c r="C52" s="35" t="s">
        <v>1147</v>
      </c>
      <c r="D52" s="35" t="s">
        <v>1148</v>
      </c>
      <c r="E52" s="35">
        <v>98.34</v>
      </c>
      <c r="F52" s="34">
        <v>43151</v>
      </c>
    </row>
    <row r="53" spans="1:6" ht="15.75" x14ac:dyDescent="0.25">
      <c r="A53" s="35">
        <v>558979</v>
      </c>
      <c r="B53" s="35" t="s">
        <v>150</v>
      </c>
      <c r="C53" s="35" t="s">
        <v>1149</v>
      </c>
      <c r="D53" s="35" t="s">
        <v>1150</v>
      </c>
      <c r="E53" s="35">
        <v>125</v>
      </c>
      <c r="F53" s="34">
        <v>43151</v>
      </c>
    </row>
    <row r="54" spans="1:6" ht="15.75" x14ac:dyDescent="0.25">
      <c r="A54" s="35">
        <v>558979</v>
      </c>
      <c r="B54" s="35" t="s">
        <v>150</v>
      </c>
      <c r="C54" s="35" t="s">
        <v>1151</v>
      </c>
      <c r="D54" s="35" t="s">
        <v>1152</v>
      </c>
      <c r="E54" s="35">
        <v>156.25</v>
      </c>
      <c r="F54" s="34">
        <v>43151</v>
      </c>
    </row>
    <row r="55" spans="1:6" ht="15.75" x14ac:dyDescent="0.25">
      <c r="A55" s="35">
        <v>558921</v>
      </c>
      <c r="B55" s="35" t="s">
        <v>262</v>
      </c>
      <c r="C55" s="35" t="s">
        <v>209</v>
      </c>
      <c r="D55" s="35" t="s">
        <v>1153</v>
      </c>
      <c r="E55" s="35">
        <v>-990</v>
      </c>
      <c r="F55" s="34">
        <v>43152</v>
      </c>
    </row>
    <row r="56" spans="1:6" ht="15.75" x14ac:dyDescent="0.25">
      <c r="A56" s="35">
        <v>558921</v>
      </c>
      <c r="B56" s="35" t="s">
        <v>262</v>
      </c>
      <c r="C56" s="35" t="s">
        <v>209</v>
      </c>
      <c r="D56" s="35" t="s">
        <v>1153</v>
      </c>
      <c r="E56" s="35">
        <v>-897</v>
      </c>
      <c r="F56" s="34">
        <v>43152</v>
      </c>
    </row>
    <row r="57" spans="1:6" ht="15.75" x14ac:dyDescent="0.25">
      <c r="A57" s="35">
        <v>558921</v>
      </c>
      <c r="B57" s="35" t="s">
        <v>262</v>
      </c>
      <c r="C57" s="35" t="s">
        <v>209</v>
      </c>
      <c r="D57" s="35" t="s">
        <v>1153</v>
      </c>
      <c r="E57" s="35">
        <v>-282</v>
      </c>
      <c r="F57" s="34">
        <v>43152</v>
      </c>
    </row>
    <row r="58" spans="1:6" ht="15.75" x14ac:dyDescent="0.25">
      <c r="A58" s="35">
        <v>558921</v>
      </c>
      <c r="B58" s="35" t="s">
        <v>262</v>
      </c>
      <c r="C58" s="35" t="s">
        <v>209</v>
      </c>
      <c r="D58" s="35" t="s">
        <v>1153</v>
      </c>
      <c r="E58" s="35">
        <v>-275</v>
      </c>
      <c r="F58" s="34">
        <v>43152</v>
      </c>
    </row>
    <row r="59" spans="1:6" ht="15.75" x14ac:dyDescent="0.25">
      <c r="A59" s="35">
        <v>558921</v>
      </c>
      <c r="B59" s="35" t="s">
        <v>262</v>
      </c>
      <c r="C59" s="35" t="s">
        <v>209</v>
      </c>
      <c r="D59" s="35" t="s">
        <v>1153</v>
      </c>
      <c r="E59" s="35">
        <v>-245</v>
      </c>
      <c r="F59" s="34">
        <v>43152</v>
      </c>
    </row>
    <row r="60" spans="1:6" ht="15.75" x14ac:dyDescent="0.25">
      <c r="A60" s="35">
        <v>527410</v>
      </c>
      <c r="B60" s="35" t="s">
        <v>551</v>
      </c>
      <c r="C60" s="35" t="s">
        <v>209</v>
      </c>
      <c r="D60" s="35" t="s">
        <v>1153</v>
      </c>
      <c r="E60" s="35">
        <v>-134.85</v>
      </c>
      <c r="F60" s="34">
        <v>43152</v>
      </c>
    </row>
    <row r="61" spans="1:6" ht="15.75" x14ac:dyDescent="0.25">
      <c r="A61" s="35">
        <v>558921</v>
      </c>
      <c r="B61" s="35" t="s">
        <v>262</v>
      </c>
      <c r="C61" s="35" t="s">
        <v>209</v>
      </c>
      <c r="D61" s="35" t="s">
        <v>1153</v>
      </c>
      <c r="E61" s="35">
        <v>-40</v>
      </c>
      <c r="F61" s="34">
        <v>43152</v>
      </c>
    </row>
    <row r="62" spans="1:6" ht="15.75" x14ac:dyDescent="0.25">
      <c r="A62" s="35">
        <v>558921</v>
      </c>
      <c r="B62" s="35" t="s">
        <v>262</v>
      </c>
      <c r="C62" s="35" t="s">
        <v>209</v>
      </c>
      <c r="D62" s="35" t="s">
        <v>1153</v>
      </c>
      <c r="E62" s="35">
        <v>-40</v>
      </c>
      <c r="F62" s="34">
        <v>43152</v>
      </c>
    </row>
    <row r="63" spans="1:6" ht="15.75" x14ac:dyDescent="0.25">
      <c r="A63" s="35">
        <v>558921</v>
      </c>
      <c r="B63" s="35" t="s">
        <v>262</v>
      </c>
      <c r="C63" s="35" t="s">
        <v>209</v>
      </c>
      <c r="D63" s="35" t="s">
        <v>1153</v>
      </c>
      <c r="E63" s="35">
        <v>-30</v>
      </c>
      <c r="F63" s="34">
        <v>43152</v>
      </c>
    </row>
    <row r="64" spans="1:6" ht="15.75" x14ac:dyDescent="0.25">
      <c r="A64" s="35">
        <v>558921</v>
      </c>
      <c r="B64" s="35" t="s">
        <v>262</v>
      </c>
      <c r="C64" s="35" t="s">
        <v>209</v>
      </c>
      <c r="D64" s="35" t="s">
        <v>1153</v>
      </c>
      <c r="E64" s="35">
        <v>30</v>
      </c>
      <c r="F64" s="34">
        <v>43152</v>
      </c>
    </row>
    <row r="65" spans="1:6" ht="15.75" x14ac:dyDescent="0.25">
      <c r="A65" s="35">
        <v>558921</v>
      </c>
      <c r="B65" s="35" t="s">
        <v>262</v>
      </c>
      <c r="C65" s="35" t="s">
        <v>209</v>
      </c>
      <c r="D65" s="35" t="s">
        <v>1153</v>
      </c>
      <c r="E65" s="35">
        <v>40</v>
      </c>
      <c r="F65" s="34">
        <v>43152</v>
      </c>
    </row>
    <row r="66" spans="1:6" ht="15.75" x14ac:dyDescent="0.25">
      <c r="A66" s="35">
        <v>558921</v>
      </c>
      <c r="B66" s="35" t="s">
        <v>262</v>
      </c>
      <c r="C66" s="35" t="s">
        <v>209</v>
      </c>
      <c r="D66" s="35" t="s">
        <v>1153</v>
      </c>
      <c r="E66" s="35">
        <v>40</v>
      </c>
      <c r="F66" s="34">
        <v>43152</v>
      </c>
    </row>
    <row r="67" spans="1:6" ht="15.75" x14ac:dyDescent="0.25">
      <c r="A67" s="35">
        <v>526712</v>
      </c>
      <c r="B67" s="35" t="s">
        <v>14</v>
      </c>
      <c r="C67" s="35" t="s">
        <v>927</v>
      </c>
      <c r="D67" s="35" t="s">
        <v>1154</v>
      </c>
      <c r="E67" s="35">
        <v>44.88</v>
      </c>
      <c r="F67" s="34">
        <v>43152</v>
      </c>
    </row>
    <row r="68" spans="1:6" ht="15.75" x14ac:dyDescent="0.25">
      <c r="A68" s="35">
        <v>526712</v>
      </c>
      <c r="B68" s="35" t="s">
        <v>14</v>
      </c>
      <c r="C68" s="35" t="s">
        <v>288</v>
      </c>
      <c r="D68" s="35" t="s">
        <v>1155</v>
      </c>
      <c r="E68" s="35">
        <v>50.82</v>
      </c>
      <c r="F68" s="34">
        <v>43152</v>
      </c>
    </row>
    <row r="69" spans="1:6" ht="15.75" x14ac:dyDescent="0.25">
      <c r="A69" s="35">
        <v>526712</v>
      </c>
      <c r="B69" s="35" t="s">
        <v>14</v>
      </c>
      <c r="C69" s="35" t="s">
        <v>1029</v>
      </c>
      <c r="D69" s="35" t="s">
        <v>1156</v>
      </c>
      <c r="E69" s="35">
        <v>57.42</v>
      </c>
      <c r="F69" s="34">
        <v>43152</v>
      </c>
    </row>
    <row r="70" spans="1:6" ht="15.75" x14ac:dyDescent="0.25">
      <c r="A70" s="35">
        <v>526712</v>
      </c>
      <c r="B70" s="35" t="s">
        <v>14</v>
      </c>
      <c r="C70" s="35" t="s">
        <v>342</v>
      </c>
      <c r="D70" s="35" t="s">
        <v>1157</v>
      </c>
      <c r="E70" s="35">
        <v>76.56</v>
      </c>
      <c r="F70" s="34">
        <v>43152</v>
      </c>
    </row>
    <row r="71" spans="1:6" ht="15.75" x14ac:dyDescent="0.25">
      <c r="A71" s="35">
        <v>526712</v>
      </c>
      <c r="B71" s="35" t="s">
        <v>14</v>
      </c>
      <c r="C71" s="35" t="s">
        <v>1158</v>
      </c>
      <c r="D71" s="35" t="s">
        <v>1159</v>
      </c>
      <c r="E71" s="35">
        <v>110.22</v>
      </c>
      <c r="F71" s="34">
        <v>43152</v>
      </c>
    </row>
    <row r="72" spans="1:6" ht="15.75" x14ac:dyDescent="0.25">
      <c r="A72" s="35">
        <v>526712</v>
      </c>
      <c r="B72" s="35" t="s">
        <v>14</v>
      </c>
      <c r="C72" s="35" t="s">
        <v>313</v>
      </c>
      <c r="D72" s="35" t="s">
        <v>1160</v>
      </c>
      <c r="E72" s="35">
        <v>128.69999999999999</v>
      </c>
      <c r="F72" s="34">
        <v>43152</v>
      </c>
    </row>
    <row r="73" spans="1:6" ht="15.75" x14ac:dyDescent="0.25">
      <c r="A73" s="35">
        <v>527410</v>
      </c>
      <c r="B73" s="35" t="s">
        <v>551</v>
      </c>
      <c r="C73" s="35" t="s">
        <v>209</v>
      </c>
      <c r="D73" s="35" t="s">
        <v>1153</v>
      </c>
      <c r="E73" s="35">
        <v>134.85</v>
      </c>
      <c r="F73" s="34">
        <v>43152</v>
      </c>
    </row>
    <row r="74" spans="1:6" ht="15.75" x14ac:dyDescent="0.25">
      <c r="A74" s="35">
        <v>526712</v>
      </c>
      <c r="B74" s="35" t="s">
        <v>14</v>
      </c>
      <c r="C74" s="35" t="s">
        <v>1151</v>
      </c>
      <c r="D74" s="35" t="s">
        <v>1161</v>
      </c>
      <c r="E74" s="35">
        <v>151.80000000000001</v>
      </c>
      <c r="F74" s="34">
        <v>43152</v>
      </c>
    </row>
    <row r="75" spans="1:6" ht="15.75" x14ac:dyDescent="0.25">
      <c r="A75" s="35">
        <v>558921</v>
      </c>
      <c r="B75" s="35" t="s">
        <v>262</v>
      </c>
      <c r="C75" s="35" t="s">
        <v>209</v>
      </c>
      <c r="D75" s="35" t="s">
        <v>1153</v>
      </c>
      <c r="E75" s="35">
        <v>245</v>
      </c>
      <c r="F75" s="34">
        <v>43152</v>
      </c>
    </row>
    <row r="76" spans="1:6" ht="15.75" x14ac:dyDescent="0.25">
      <c r="A76" s="35">
        <v>558921</v>
      </c>
      <c r="B76" s="35" t="s">
        <v>262</v>
      </c>
      <c r="C76" s="35" t="s">
        <v>209</v>
      </c>
      <c r="D76" s="35" t="s">
        <v>1153</v>
      </c>
      <c r="E76" s="35">
        <v>275</v>
      </c>
      <c r="F76" s="34">
        <v>43152</v>
      </c>
    </row>
    <row r="77" spans="1:6" ht="15.75" x14ac:dyDescent="0.25">
      <c r="A77" s="35">
        <v>558921</v>
      </c>
      <c r="B77" s="35" t="s">
        <v>262</v>
      </c>
      <c r="C77" s="35" t="s">
        <v>209</v>
      </c>
      <c r="D77" s="35" t="s">
        <v>1153</v>
      </c>
      <c r="E77" s="35">
        <v>282</v>
      </c>
      <c r="F77" s="34">
        <v>43152</v>
      </c>
    </row>
    <row r="78" spans="1:6" ht="15.75" x14ac:dyDescent="0.25">
      <c r="A78" s="35">
        <v>558921</v>
      </c>
      <c r="B78" s="35" t="s">
        <v>262</v>
      </c>
      <c r="C78" s="35" t="s">
        <v>209</v>
      </c>
      <c r="D78" s="35" t="s">
        <v>1153</v>
      </c>
      <c r="E78" s="35">
        <v>897</v>
      </c>
      <c r="F78" s="34">
        <v>43152</v>
      </c>
    </row>
    <row r="79" spans="1:6" ht="15.75" x14ac:dyDescent="0.25">
      <c r="A79" s="35">
        <v>558921</v>
      </c>
      <c r="B79" s="35" t="s">
        <v>262</v>
      </c>
      <c r="C79" s="35" t="s">
        <v>209</v>
      </c>
      <c r="D79" s="35" t="s">
        <v>1153</v>
      </c>
      <c r="E79" s="35">
        <v>990</v>
      </c>
      <c r="F79" s="34">
        <v>43152</v>
      </c>
    </row>
    <row r="80" spans="1:6" ht="15.75" x14ac:dyDescent="0.25">
      <c r="A80" s="35">
        <v>558921</v>
      </c>
      <c r="B80" s="35" t="s">
        <v>262</v>
      </c>
      <c r="C80" s="35" t="s">
        <v>178</v>
      </c>
      <c r="D80" s="35" t="s">
        <v>1162</v>
      </c>
      <c r="E80" s="35">
        <v>396.49</v>
      </c>
      <c r="F80" s="34">
        <v>43153</v>
      </c>
    </row>
    <row r="81" spans="1:6" ht="15.75" x14ac:dyDescent="0.25">
      <c r="A81" s="35">
        <v>527120</v>
      </c>
      <c r="B81" s="35" t="s">
        <v>143</v>
      </c>
      <c r="C81" s="35" t="s">
        <v>144</v>
      </c>
      <c r="D81" s="35" t="s">
        <v>1163</v>
      </c>
      <c r="E81" s="35">
        <v>14.5</v>
      </c>
      <c r="F81" s="34">
        <v>43157</v>
      </c>
    </row>
    <row r="82" spans="1:6" ht="15.75" x14ac:dyDescent="0.25">
      <c r="A82" s="35">
        <v>527120</v>
      </c>
      <c r="B82" s="35" t="s">
        <v>143</v>
      </c>
      <c r="C82" s="35" t="s">
        <v>144</v>
      </c>
      <c r="D82" s="35" t="s">
        <v>1163</v>
      </c>
      <c r="E82" s="35">
        <v>14.5</v>
      </c>
      <c r="F82" s="34">
        <v>43157</v>
      </c>
    </row>
  </sheetData>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8731A-87BD-4ECD-BC13-9941564DFD93}">
  <dimension ref="A1:F29"/>
  <sheetViews>
    <sheetView workbookViewId="0">
      <selection sqref="A1:F29"/>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526741</v>
      </c>
      <c r="B2" s="35" t="s">
        <v>23</v>
      </c>
      <c r="C2" s="35" t="s">
        <v>1067</v>
      </c>
      <c r="D2" s="35" t="s">
        <v>1068</v>
      </c>
      <c r="E2" s="35">
        <v>3179.67</v>
      </c>
      <c r="F2" s="34">
        <v>43103</v>
      </c>
    </row>
    <row r="3" spans="1:6" ht="15.75" x14ac:dyDescent="0.25">
      <c r="A3" s="35">
        <v>526741</v>
      </c>
      <c r="B3" s="35" t="s">
        <v>23</v>
      </c>
      <c r="C3" s="35" t="s">
        <v>1069</v>
      </c>
      <c r="D3" s="35" t="s">
        <v>1070</v>
      </c>
      <c r="E3" s="35">
        <v>6741.6</v>
      </c>
      <c r="F3" s="34">
        <v>43103</v>
      </c>
    </row>
    <row r="4" spans="1:6" ht="15.75" x14ac:dyDescent="0.25">
      <c r="A4" s="35">
        <v>526741</v>
      </c>
      <c r="B4" s="35" t="s">
        <v>23</v>
      </c>
      <c r="C4" s="35" t="s">
        <v>1071</v>
      </c>
      <c r="D4" s="35" t="s">
        <v>1072</v>
      </c>
      <c r="E4" s="35">
        <v>147.34</v>
      </c>
      <c r="F4" s="34">
        <v>43105</v>
      </c>
    </row>
    <row r="5" spans="1:6" ht="15.75" x14ac:dyDescent="0.25">
      <c r="A5" s="35">
        <v>531110</v>
      </c>
      <c r="B5" s="35" t="s">
        <v>27</v>
      </c>
      <c r="C5" s="35" t="s">
        <v>142</v>
      </c>
      <c r="D5" s="35">
        <v>2000003829</v>
      </c>
      <c r="E5" s="35">
        <v>0</v>
      </c>
      <c r="F5" s="34">
        <v>43113</v>
      </c>
    </row>
    <row r="6" spans="1:6" ht="15.75" x14ac:dyDescent="0.25">
      <c r="A6" s="35">
        <v>531110</v>
      </c>
      <c r="B6" s="35" t="s">
        <v>27</v>
      </c>
      <c r="C6" s="35"/>
      <c r="D6" s="35">
        <v>1000004332</v>
      </c>
      <c r="E6" s="35">
        <v>0</v>
      </c>
      <c r="F6" s="34">
        <v>43113</v>
      </c>
    </row>
    <row r="7" spans="1:6" ht="15.75" x14ac:dyDescent="0.25">
      <c r="A7" s="35">
        <v>531110</v>
      </c>
      <c r="B7" s="35" t="s">
        <v>27</v>
      </c>
      <c r="C7" s="35" t="s">
        <v>142</v>
      </c>
      <c r="D7" s="35">
        <v>2000003829</v>
      </c>
      <c r="E7" s="35">
        <v>31.8</v>
      </c>
      <c r="F7" s="34">
        <v>43113</v>
      </c>
    </row>
    <row r="8" spans="1:6" ht="15.75" x14ac:dyDescent="0.25">
      <c r="A8" s="35">
        <v>531110</v>
      </c>
      <c r="B8" s="35" t="s">
        <v>27</v>
      </c>
      <c r="C8" s="35"/>
      <c r="D8" s="35">
        <v>1000004332</v>
      </c>
      <c r="E8" s="35">
        <v>31.8</v>
      </c>
      <c r="F8" s="34">
        <v>43113</v>
      </c>
    </row>
    <row r="9" spans="1:6" ht="15.75" x14ac:dyDescent="0.25">
      <c r="A9" s="35">
        <v>558979</v>
      </c>
      <c r="B9" s="35" t="s">
        <v>150</v>
      </c>
      <c r="C9" s="35" t="s">
        <v>1001</v>
      </c>
      <c r="D9" s="35" t="s">
        <v>1073</v>
      </c>
      <c r="E9" s="35">
        <v>125</v>
      </c>
      <c r="F9" s="34">
        <v>43122</v>
      </c>
    </row>
    <row r="10" spans="1:6" ht="15.75" x14ac:dyDescent="0.25">
      <c r="A10" s="35">
        <v>558979</v>
      </c>
      <c r="B10" s="35" t="s">
        <v>150</v>
      </c>
      <c r="C10" s="35" t="s">
        <v>956</v>
      </c>
      <c r="D10" s="35" t="s">
        <v>1074</v>
      </c>
      <c r="E10" s="35">
        <v>125</v>
      </c>
      <c r="F10" s="34">
        <v>43122</v>
      </c>
    </row>
    <row r="11" spans="1:6" ht="15.75" x14ac:dyDescent="0.25">
      <c r="A11" s="35">
        <v>558979</v>
      </c>
      <c r="B11" s="35" t="s">
        <v>150</v>
      </c>
      <c r="C11" s="35" t="s">
        <v>947</v>
      </c>
      <c r="D11" s="35" t="s">
        <v>1075</v>
      </c>
      <c r="E11" s="35">
        <v>125</v>
      </c>
      <c r="F11" s="34">
        <v>43122</v>
      </c>
    </row>
    <row r="12" spans="1:6" ht="15.75" x14ac:dyDescent="0.25">
      <c r="A12" s="35">
        <v>558979</v>
      </c>
      <c r="B12" s="35" t="s">
        <v>150</v>
      </c>
      <c r="C12" s="35" t="s">
        <v>952</v>
      </c>
      <c r="D12" s="35" t="s">
        <v>1076</v>
      </c>
      <c r="E12" s="35">
        <v>125</v>
      </c>
      <c r="F12" s="34">
        <v>43122</v>
      </c>
    </row>
    <row r="13" spans="1:6" ht="15.75" x14ac:dyDescent="0.25">
      <c r="A13" s="35">
        <v>558979</v>
      </c>
      <c r="B13" s="35" t="s">
        <v>150</v>
      </c>
      <c r="C13" s="35" t="s">
        <v>961</v>
      </c>
      <c r="D13" s="35" t="s">
        <v>1077</v>
      </c>
      <c r="E13" s="35">
        <v>125</v>
      </c>
      <c r="F13" s="34">
        <v>43122</v>
      </c>
    </row>
    <row r="14" spans="1:6" ht="15.75" x14ac:dyDescent="0.25">
      <c r="A14" s="35">
        <v>558979</v>
      </c>
      <c r="B14" s="35" t="s">
        <v>150</v>
      </c>
      <c r="C14" s="35" t="s">
        <v>323</v>
      </c>
      <c r="D14" s="35" t="s">
        <v>1078</v>
      </c>
      <c r="E14" s="35">
        <v>125</v>
      </c>
      <c r="F14" s="34">
        <v>43122</v>
      </c>
    </row>
    <row r="15" spans="1:6" ht="15.75" x14ac:dyDescent="0.25">
      <c r="A15" s="35">
        <v>558979</v>
      </c>
      <c r="B15" s="35" t="s">
        <v>150</v>
      </c>
      <c r="C15" s="35" t="s">
        <v>309</v>
      </c>
      <c r="D15" s="35" t="s">
        <v>1079</v>
      </c>
      <c r="E15" s="35">
        <v>125</v>
      </c>
      <c r="F15" s="34">
        <v>43122</v>
      </c>
    </row>
    <row r="16" spans="1:6" ht="15.75" x14ac:dyDescent="0.25">
      <c r="A16" s="35">
        <v>558979</v>
      </c>
      <c r="B16" s="35" t="s">
        <v>150</v>
      </c>
      <c r="C16" s="35" t="s">
        <v>927</v>
      </c>
      <c r="D16" s="35" t="s">
        <v>1080</v>
      </c>
      <c r="E16" s="35">
        <v>125</v>
      </c>
      <c r="F16" s="34">
        <v>43122</v>
      </c>
    </row>
    <row r="17" spans="1:6" ht="15.75" x14ac:dyDescent="0.25">
      <c r="A17" s="35">
        <v>558979</v>
      </c>
      <c r="B17" s="35" t="s">
        <v>150</v>
      </c>
      <c r="C17" s="35" t="s">
        <v>949</v>
      </c>
      <c r="D17" s="35" t="s">
        <v>1081</v>
      </c>
      <c r="E17" s="35">
        <v>125</v>
      </c>
      <c r="F17" s="34">
        <v>43122</v>
      </c>
    </row>
    <row r="18" spans="1:6" ht="15.75" x14ac:dyDescent="0.25">
      <c r="A18" s="35">
        <v>558979</v>
      </c>
      <c r="B18" s="35" t="s">
        <v>150</v>
      </c>
      <c r="C18" s="35" t="s">
        <v>942</v>
      </c>
      <c r="D18" s="35" t="s">
        <v>1082</v>
      </c>
      <c r="E18" s="35">
        <v>125</v>
      </c>
      <c r="F18" s="34">
        <v>43122</v>
      </c>
    </row>
    <row r="19" spans="1:6" ht="15.75" x14ac:dyDescent="0.25">
      <c r="A19" s="35">
        <v>558979</v>
      </c>
      <c r="B19" s="35" t="s">
        <v>150</v>
      </c>
      <c r="C19" s="35" t="s">
        <v>311</v>
      </c>
      <c r="D19" s="35" t="s">
        <v>1083</v>
      </c>
      <c r="E19" s="35">
        <v>125</v>
      </c>
      <c r="F19" s="34">
        <v>43122</v>
      </c>
    </row>
    <row r="20" spans="1:6" ht="15.75" x14ac:dyDescent="0.25">
      <c r="A20" s="35">
        <v>558979</v>
      </c>
      <c r="B20" s="35" t="s">
        <v>150</v>
      </c>
      <c r="C20" s="35" t="s">
        <v>1062</v>
      </c>
      <c r="D20" s="35" t="s">
        <v>1084</v>
      </c>
      <c r="E20" s="35">
        <v>150</v>
      </c>
      <c r="F20" s="34">
        <v>43122</v>
      </c>
    </row>
    <row r="21" spans="1:6" ht="15.75" x14ac:dyDescent="0.25">
      <c r="A21" s="35">
        <v>558979</v>
      </c>
      <c r="B21" s="35" t="s">
        <v>150</v>
      </c>
      <c r="C21" s="35" t="s">
        <v>783</v>
      </c>
      <c r="D21" s="35" t="s">
        <v>1085</v>
      </c>
      <c r="E21" s="35">
        <v>200</v>
      </c>
      <c r="F21" s="34">
        <v>43122</v>
      </c>
    </row>
    <row r="22" spans="1:6" ht="15.75" x14ac:dyDescent="0.25">
      <c r="A22" s="35">
        <v>558979</v>
      </c>
      <c r="B22" s="35" t="s">
        <v>150</v>
      </c>
      <c r="C22" s="35" t="s">
        <v>771</v>
      </c>
      <c r="D22" s="35" t="s">
        <v>1086</v>
      </c>
      <c r="E22" s="35">
        <v>200</v>
      </c>
      <c r="F22" s="34">
        <v>43122</v>
      </c>
    </row>
    <row r="23" spans="1:6" ht="15.75" x14ac:dyDescent="0.25">
      <c r="A23" s="35">
        <v>558979</v>
      </c>
      <c r="B23" s="35" t="s">
        <v>150</v>
      </c>
      <c r="C23" s="35" t="s">
        <v>767</v>
      </c>
      <c r="D23" s="35" t="s">
        <v>1087</v>
      </c>
      <c r="E23" s="35">
        <v>200</v>
      </c>
      <c r="F23" s="34">
        <v>43122</v>
      </c>
    </row>
    <row r="24" spans="1:6" ht="15.75" x14ac:dyDescent="0.25">
      <c r="A24" s="35">
        <v>558979</v>
      </c>
      <c r="B24" s="35" t="s">
        <v>150</v>
      </c>
      <c r="C24" s="35" t="s">
        <v>853</v>
      </c>
      <c r="D24" s="35" t="s">
        <v>1088</v>
      </c>
      <c r="E24" s="35">
        <v>200</v>
      </c>
      <c r="F24" s="34">
        <v>43122</v>
      </c>
    </row>
    <row r="25" spans="1:6" ht="15.75" x14ac:dyDescent="0.25">
      <c r="A25" s="35">
        <v>558979</v>
      </c>
      <c r="B25" s="35" t="s">
        <v>150</v>
      </c>
      <c r="C25" s="35" t="s">
        <v>781</v>
      </c>
      <c r="D25" s="35" t="s">
        <v>1089</v>
      </c>
      <c r="E25" s="35">
        <v>200</v>
      </c>
      <c r="F25" s="34">
        <v>43122</v>
      </c>
    </row>
    <row r="26" spans="1:6" ht="15.75" x14ac:dyDescent="0.25">
      <c r="A26" s="35">
        <v>558979</v>
      </c>
      <c r="B26" s="35" t="s">
        <v>150</v>
      </c>
      <c r="C26" s="35" t="s">
        <v>787</v>
      </c>
      <c r="D26" s="35" t="s">
        <v>1090</v>
      </c>
      <c r="E26" s="35">
        <v>225</v>
      </c>
      <c r="F26" s="34">
        <v>43122</v>
      </c>
    </row>
    <row r="27" spans="1:6" ht="15.75" x14ac:dyDescent="0.25">
      <c r="A27" s="35">
        <v>558979</v>
      </c>
      <c r="B27" s="35" t="s">
        <v>150</v>
      </c>
      <c r="C27" s="35" t="s">
        <v>342</v>
      </c>
      <c r="D27" s="35" t="s">
        <v>1091</v>
      </c>
      <c r="E27" s="35">
        <v>400</v>
      </c>
      <c r="F27" s="34">
        <v>43122</v>
      </c>
    </row>
    <row r="28" spans="1:6" ht="15.75" x14ac:dyDescent="0.25">
      <c r="A28" s="35">
        <v>558979</v>
      </c>
      <c r="B28" s="35" t="s">
        <v>150</v>
      </c>
      <c r="C28" s="35" t="s">
        <v>232</v>
      </c>
      <c r="D28" s="35" t="s">
        <v>1092</v>
      </c>
      <c r="E28" s="35">
        <v>650</v>
      </c>
      <c r="F28" s="34">
        <v>43122</v>
      </c>
    </row>
    <row r="29" spans="1:6" ht="15.75" x14ac:dyDescent="0.25">
      <c r="A29" s="35">
        <v>487110</v>
      </c>
      <c r="B29" s="35" t="s">
        <v>36</v>
      </c>
      <c r="C29" s="35" t="s">
        <v>1093</v>
      </c>
      <c r="D29" s="35" t="s">
        <v>1094</v>
      </c>
      <c r="E29" s="35">
        <v>4798.1899999999996</v>
      </c>
      <c r="F29" s="34">
        <v>43126</v>
      </c>
    </row>
  </sheetData>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F1E7A-F8C6-4544-AB03-A9F506C97EEA}">
  <dimension ref="A1:F70"/>
  <sheetViews>
    <sheetView workbookViewId="0">
      <selection activeCell="C19" sqref="C19"/>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526712</v>
      </c>
      <c r="B2" s="35" t="s">
        <v>14</v>
      </c>
      <c r="C2" s="35" t="s">
        <v>1001</v>
      </c>
      <c r="D2" s="35" t="s">
        <v>1007</v>
      </c>
      <c r="E2" s="35">
        <v>73.3</v>
      </c>
      <c r="F2" s="34">
        <v>43073</v>
      </c>
    </row>
    <row r="3" spans="1:6" ht="15.75" x14ac:dyDescent="0.25">
      <c r="A3" s="35">
        <v>526712</v>
      </c>
      <c r="B3" s="35" t="s">
        <v>14</v>
      </c>
      <c r="C3" s="35" t="s">
        <v>386</v>
      </c>
      <c r="D3" s="35" t="s">
        <v>1008</v>
      </c>
      <c r="E3" s="35">
        <v>73.5</v>
      </c>
      <c r="F3" s="34">
        <v>43073</v>
      </c>
    </row>
    <row r="4" spans="1:6" ht="15.75" x14ac:dyDescent="0.25">
      <c r="A4" s="35">
        <v>526712</v>
      </c>
      <c r="B4" s="35" t="s">
        <v>14</v>
      </c>
      <c r="C4" s="35" t="s">
        <v>785</v>
      </c>
      <c r="D4" s="35" t="s">
        <v>1009</v>
      </c>
      <c r="E4" s="35">
        <v>125.02</v>
      </c>
      <c r="F4" s="34">
        <v>43073</v>
      </c>
    </row>
    <row r="5" spans="1:6" ht="15.75" x14ac:dyDescent="0.25">
      <c r="A5" s="35">
        <v>526712</v>
      </c>
      <c r="B5" s="35" t="s">
        <v>14</v>
      </c>
      <c r="C5" s="35" t="s">
        <v>232</v>
      </c>
      <c r="D5" s="35" t="s">
        <v>1010</v>
      </c>
      <c r="E5" s="35">
        <v>130.12</v>
      </c>
      <c r="F5" s="34">
        <v>43073</v>
      </c>
    </row>
    <row r="6" spans="1:6" ht="15.75" x14ac:dyDescent="0.25">
      <c r="A6" s="35">
        <v>526712</v>
      </c>
      <c r="B6" s="35" t="s">
        <v>14</v>
      </c>
      <c r="C6" s="35" t="s">
        <v>789</v>
      </c>
      <c r="D6" s="35" t="s">
        <v>1011</v>
      </c>
      <c r="E6" s="35">
        <v>130.12</v>
      </c>
      <c r="F6" s="34">
        <v>43073</v>
      </c>
    </row>
    <row r="7" spans="1:6" ht="15.75" x14ac:dyDescent="0.25">
      <c r="A7" s="35">
        <v>526712</v>
      </c>
      <c r="B7" s="35" t="s">
        <v>14</v>
      </c>
      <c r="C7" s="35" t="s">
        <v>927</v>
      </c>
      <c r="D7" s="35" t="s">
        <v>1012</v>
      </c>
      <c r="E7" s="35">
        <v>153.24</v>
      </c>
      <c r="F7" s="34">
        <v>43073</v>
      </c>
    </row>
    <row r="8" spans="1:6" ht="15.75" x14ac:dyDescent="0.25">
      <c r="A8" s="35">
        <v>487110</v>
      </c>
      <c r="B8" s="35" t="s">
        <v>36</v>
      </c>
      <c r="C8" s="35" t="s">
        <v>1013</v>
      </c>
      <c r="D8" s="35" t="s">
        <v>1014</v>
      </c>
      <c r="E8" s="35">
        <v>985</v>
      </c>
      <c r="F8" s="34">
        <v>43075</v>
      </c>
    </row>
    <row r="9" spans="1:6" ht="15.75" x14ac:dyDescent="0.25">
      <c r="A9" s="35">
        <v>526712</v>
      </c>
      <c r="B9" s="35" t="s">
        <v>14</v>
      </c>
      <c r="C9" s="35" t="s">
        <v>783</v>
      </c>
      <c r="D9" s="35" t="s">
        <v>1015</v>
      </c>
      <c r="E9" s="35">
        <v>89.88</v>
      </c>
      <c r="F9" s="34">
        <v>43076</v>
      </c>
    </row>
    <row r="10" spans="1:6" ht="15.75" x14ac:dyDescent="0.25">
      <c r="A10" s="35">
        <v>526712</v>
      </c>
      <c r="B10" s="35" t="s">
        <v>14</v>
      </c>
      <c r="C10" s="35" t="s">
        <v>309</v>
      </c>
      <c r="D10" s="35" t="s">
        <v>1016</v>
      </c>
      <c r="E10" s="35">
        <v>109.72</v>
      </c>
      <c r="F10" s="34">
        <v>43076</v>
      </c>
    </row>
    <row r="11" spans="1:6" ht="15.75" x14ac:dyDescent="0.25">
      <c r="A11" s="35">
        <v>526712</v>
      </c>
      <c r="B11" s="35" t="s">
        <v>14</v>
      </c>
      <c r="C11" s="35" t="s">
        <v>954</v>
      </c>
      <c r="D11" s="35" t="s">
        <v>1017</v>
      </c>
      <c r="E11" s="35">
        <v>111.08</v>
      </c>
      <c r="F11" s="34">
        <v>43076</v>
      </c>
    </row>
    <row r="12" spans="1:6" ht="15.75" x14ac:dyDescent="0.25">
      <c r="A12" s="35">
        <v>526712</v>
      </c>
      <c r="B12" s="35" t="s">
        <v>14</v>
      </c>
      <c r="C12" s="35" t="s">
        <v>767</v>
      </c>
      <c r="D12" s="35" t="s">
        <v>1018</v>
      </c>
      <c r="E12" s="35">
        <v>114.82</v>
      </c>
      <c r="F12" s="34">
        <v>43076</v>
      </c>
    </row>
    <row r="13" spans="1:6" ht="15.75" x14ac:dyDescent="0.25">
      <c r="A13" s="35">
        <v>526712</v>
      </c>
      <c r="B13" s="35" t="s">
        <v>14</v>
      </c>
      <c r="C13" s="35" t="s">
        <v>311</v>
      </c>
      <c r="D13" s="35" t="s">
        <v>1019</v>
      </c>
      <c r="E13" s="35">
        <v>125.36</v>
      </c>
      <c r="F13" s="34">
        <v>43076</v>
      </c>
    </row>
    <row r="14" spans="1:6" ht="15.75" x14ac:dyDescent="0.25">
      <c r="A14" s="35">
        <v>526712</v>
      </c>
      <c r="B14" s="35" t="s">
        <v>14</v>
      </c>
      <c r="C14" s="35" t="s">
        <v>386</v>
      </c>
      <c r="D14" s="35" t="s">
        <v>1020</v>
      </c>
      <c r="E14" s="35">
        <v>128.41999999999999</v>
      </c>
      <c r="F14" s="34">
        <v>43076</v>
      </c>
    </row>
    <row r="15" spans="1:6" ht="15.75" x14ac:dyDescent="0.25">
      <c r="A15" s="35">
        <v>526712</v>
      </c>
      <c r="B15" s="35" t="s">
        <v>14</v>
      </c>
      <c r="C15" s="35" t="s">
        <v>853</v>
      </c>
      <c r="D15" s="35" t="s">
        <v>1021</v>
      </c>
      <c r="E15" s="35">
        <v>136.24</v>
      </c>
      <c r="F15" s="34">
        <v>43076</v>
      </c>
    </row>
    <row r="16" spans="1:6" ht="15.75" x14ac:dyDescent="0.25">
      <c r="A16" s="35">
        <v>526741</v>
      </c>
      <c r="B16" s="35" t="s">
        <v>23</v>
      </c>
      <c r="C16" s="35" t="s">
        <v>812</v>
      </c>
      <c r="D16" s="35" t="s">
        <v>1022</v>
      </c>
      <c r="E16" s="35">
        <v>89.67</v>
      </c>
      <c r="F16" s="34">
        <v>43077</v>
      </c>
    </row>
    <row r="17" spans="1:6" ht="15.75" x14ac:dyDescent="0.25">
      <c r="A17" s="35">
        <v>526712</v>
      </c>
      <c r="B17" s="35" t="s">
        <v>14</v>
      </c>
      <c r="C17" s="35" t="s">
        <v>232</v>
      </c>
      <c r="D17" s="35" t="s">
        <v>1023</v>
      </c>
      <c r="E17" s="35">
        <v>165.48</v>
      </c>
      <c r="F17" s="34">
        <v>43077</v>
      </c>
    </row>
    <row r="18" spans="1:6" ht="15.75" x14ac:dyDescent="0.25">
      <c r="A18" s="35">
        <v>526741</v>
      </c>
      <c r="B18" s="35" t="s">
        <v>23</v>
      </c>
      <c r="C18" s="35" t="s">
        <v>812</v>
      </c>
      <c r="D18" s="35" t="s">
        <v>1024</v>
      </c>
      <c r="E18" s="35">
        <v>245.29</v>
      </c>
      <c r="F18" s="34">
        <v>43077</v>
      </c>
    </row>
    <row r="19" spans="1:6" ht="15.75" x14ac:dyDescent="0.25">
      <c r="A19" s="35">
        <v>526741</v>
      </c>
      <c r="B19" s="35" t="s">
        <v>23</v>
      </c>
      <c r="C19" s="35" t="s">
        <v>1025</v>
      </c>
      <c r="D19" s="35" t="s">
        <v>1026</v>
      </c>
      <c r="E19" s="35">
        <v>3354.4</v>
      </c>
      <c r="F19" s="34">
        <v>43077</v>
      </c>
    </row>
    <row r="20" spans="1:6" ht="15.75" x14ac:dyDescent="0.25">
      <c r="A20" s="35">
        <v>558921</v>
      </c>
      <c r="B20" s="35" t="s">
        <v>262</v>
      </c>
      <c r="C20" s="35" t="s">
        <v>924</v>
      </c>
      <c r="D20" s="35" t="s">
        <v>1027</v>
      </c>
      <c r="E20" s="35">
        <v>-38.49</v>
      </c>
      <c r="F20" s="34">
        <v>43080</v>
      </c>
    </row>
    <row r="21" spans="1:6" ht="15.75" x14ac:dyDescent="0.25">
      <c r="A21" s="35">
        <v>558921</v>
      </c>
      <c r="B21" s="35" t="s">
        <v>262</v>
      </c>
      <c r="C21" s="35" t="s">
        <v>924</v>
      </c>
      <c r="D21" s="35" t="s">
        <v>1027</v>
      </c>
      <c r="E21" s="35">
        <v>37.74</v>
      </c>
      <c r="F21" s="34">
        <v>43080</v>
      </c>
    </row>
    <row r="22" spans="1:6" ht="15.75" x14ac:dyDescent="0.25">
      <c r="A22" s="35">
        <v>558921</v>
      </c>
      <c r="B22" s="35" t="s">
        <v>262</v>
      </c>
      <c r="C22" s="35" t="s">
        <v>924</v>
      </c>
      <c r="D22" s="35" t="s">
        <v>1027</v>
      </c>
      <c r="E22" s="35">
        <v>38.49</v>
      </c>
      <c r="F22" s="34">
        <v>43080</v>
      </c>
    </row>
    <row r="23" spans="1:6" ht="15.75" x14ac:dyDescent="0.25">
      <c r="A23" s="35">
        <v>531110</v>
      </c>
      <c r="B23" s="35" t="s">
        <v>27</v>
      </c>
      <c r="C23" s="35" t="s">
        <v>142</v>
      </c>
      <c r="D23" s="35" t="s">
        <v>1028</v>
      </c>
      <c r="E23" s="35">
        <v>-31.8</v>
      </c>
      <c r="F23" s="34">
        <v>43083</v>
      </c>
    </row>
    <row r="24" spans="1:6" ht="15.75" x14ac:dyDescent="0.25">
      <c r="A24" s="35">
        <v>531110</v>
      </c>
      <c r="B24" s="35" t="s">
        <v>27</v>
      </c>
      <c r="C24" s="35" t="s">
        <v>142</v>
      </c>
      <c r="D24" s="35" t="s">
        <v>1028</v>
      </c>
      <c r="E24" s="35">
        <v>35.69</v>
      </c>
      <c r="F24" s="34">
        <v>43083</v>
      </c>
    </row>
    <row r="25" spans="1:6" ht="15.75" x14ac:dyDescent="0.25">
      <c r="A25" s="35">
        <v>526712</v>
      </c>
      <c r="B25" s="35" t="s">
        <v>14</v>
      </c>
      <c r="C25" s="35" t="s">
        <v>1029</v>
      </c>
      <c r="D25" s="35" t="s">
        <v>1030</v>
      </c>
      <c r="E25" s="35">
        <v>165.48</v>
      </c>
      <c r="F25" s="34">
        <v>43083</v>
      </c>
    </row>
    <row r="26" spans="1:6" ht="15.75" x14ac:dyDescent="0.25">
      <c r="A26" s="35">
        <v>558921</v>
      </c>
      <c r="B26" s="35" t="s">
        <v>262</v>
      </c>
      <c r="C26" s="35" t="s">
        <v>178</v>
      </c>
      <c r="D26" s="35" t="s">
        <v>1031</v>
      </c>
      <c r="E26" s="35">
        <v>470.8</v>
      </c>
      <c r="F26" s="34">
        <v>43083</v>
      </c>
    </row>
    <row r="27" spans="1:6" ht="15.75" x14ac:dyDescent="0.25">
      <c r="A27" s="35">
        <v>558979</v>
      </c>
      <c r="B27" s="35" t="s">
        <v>150</v>
      </c>
      <c r="C27" s="35" t="s">
        <v>945</v>
      </c>
      <c r="D27" s="35" t="s">
        <v>1032</v>
      </c>
      <c r="E27" s="35">
        <v>125</v>
      </c>
      <c r="F27" s="34">
        <v>43084</v>
      </c>
    </row>
    <row r="28" spans="1:6" ht="15.75" x14ac:dyDescent="0.25">
      <c r="A28" s="35">
        <v>558979</v>
      </c>
      <c r="B28" s="35" t="s">
        <v>150</v>
      </c>
      <c r="C28" s="35" t="s">
        <v>947</v>
      </c>
      <c r="D28" s="35" t="s">
        <v>1033</v>
      </c>
      <c r="E28" s="35">
        <v>125</v>
      </c>
      <c r="F28" s="34">
        <v>43084</v>
      </c>
    </row>
    <row r="29" spans="1:6" ht="15.75" x14ac:dyDescent="0.25">
      <c r="A29" s="35">
        <v>558979</v>
      </c>
      <c r="B29" s="35" t="s">
        <v>150</v>
      </c>
      <c r="C29" s="35" t="s">
        <v>309</v>
      </c>
      <c r="D29" s="35" t="s">
        <v>1034</v>
      </c>
      <c r="E29" s="35">
        <v>125</v>
      </c>
      <c r="F29" s="34">
        <v>43084</v>
      </c>
    </row>
    <row r="30" spans="1:6" ht="15.75" x14ac:dyDescent="0.25">
      <c r="A30" s="35">
        <v>558979</v>
      </c>
      <c r="B30" s="35" t="s">
        <v>150</v>
      </c>
      <c r="C30" s="35" t="s">
        <v>311</v>
      </c>
      <c r="D30" s="35" t="s">
        <v>1035</v>
      </c>
      <c r="E30" s="35">
        <v>125</v>
      </c>
      <c r="F30" s="34">
        <v>43084</v>
      </c>
    </row>
    <row r="31" spans="1:6" ht="15.75" x14ac:dyDescent="0.25">
      <c r="A31" s="35">
        <v>558979</v>
      </c>
      <c r="B31" s="35" t="s">
        <v>150</v>
      </c>
      <c r="C31" s="35" t="s">
        <v>961</v>
      </c>
      <c r="D31" s="35" t="s">
        <v>1036</v>
      </c>
      <c r="E31" s="35">
        <v>125</v>
      </c>
      <c r="F31" s="34">
        <v>43084</v>
      </c>
    </row>
    <row r="32" spans="1:6" ht="15.75" x14ac:dyDescent="0.25">
      <c r="A32" s="35">
        <v>558979</v>
      </c>
      <c r="B32" s="35" t="s">
        <v>150</v>
      </c>
      <c r="C32" s="35" t="s">
        <v>1001</v>
      </c>
      <c r="D32" s="35" t="s">
        <v>1037</v>
      </c>
      <c r="E32" s="35">
        <v>125</v>
      </c>
      <c r="F32" s="34">
        <v>43084</v>
      </c>
    </row>
    <row r="33" spans="1:6" ht="15.75" x14ac:dyDescent="0.25">
      <c r="A33" s="35">
        <v>558979</v>
      </c>
      <c r="B33" s="35" t="s">
        <v>150</v>
      </c>
      <c r="C33" s="35" t="s">
        <v>949</v>
      </c>
      <c r="D33" s="35" t="s">
        <v>1038</v>
      </c>
      <c r="E33" s="35">
        <v>125</v>
      </c>
      <c r="F33" s="34">
        <v>43084</v>
      </c>
    </row>
    <row r="34" spans="1:6" ht="15.75" x14ac:dyDescent="0.25">
      <c r="A34" s="35">
        <v>558979</v>
      </c>
      <c r="B34" s="35" t="s">
        <v>150</v>
      </c>
      <c r="C34" s="35" t="s">
        <v>323</v>
      </c>
      <c r="D34" s="35" t="s">
        <v>1039</v>
      </c>
      <c r="E34" s="35">
        <v>125</v>
      </c>
      <c r="F34" s="34">
        <v>43084</v>
      </c>
    </row>
    <row r="35" spans="1:6" ht="15.75" x14ac:dyDescent="0.25">
      <c r="A35" s="35">
        <v>558979</v>
      </c>
      <c r="B35" s="35" t="s">
        <v>150</v>
      </c>
      <c r="C35" s="35" t="s">
        <v>927</v>
      </c>
      <c r="D35" s="35" t="s">
        <v>1040</v>
      </c>
      <c r="E35" s="35">
        <v>125</v>
      </c>
      <c r="F35" s="34">
        <v>43084</v>
      </c>
    </row>
    <row r="36" spans="1:6" ht="15.75" x14ac:dyDescent="0.25">
      <c r="A36" s="35">
        <v>558979</v>
      </c>
      <c r="B36" s="35" t="s">
        <v>150</v>
      </c>
      <c r="C36" s="35" t="s">
        <v>952</v>
      </c>
      <c r="D36" s="35" t="s">
        <v>1041</v>
      </c>
      <c r="E36" s="35">
        <v>125</v>
      </c>
      <c r="F36" s="34">
        <v>43084</v>
      </c>
    </row>
    <row r="37" spans="1:6" ht="15.75" x14ac:dyDescent="0.25">
      <c r="A37" s="35">
        <v>558979</v>
      </c>
      <c r="B37" s="35" t="s">
        <v>150</v>
      </c>
      <c r="C37" s="35" t="s">
        <v>942</v>
      </c>
      <c r="D37" s="35" t="s">
        <v>1042</v>
      </c>
      <c r="E37" s="35">
        <v>125</v>
      </c>
      <c r="F37" s="34">
        <v>43084</v>
      </c>
    </row>
    <row r="38" spans="1:6" ht="15.75" x14ac:dyDescent="0.25">
      <c r="A38" s="35">
        <v>558979</v>
      </c>
      <c r="B38" s="35" t="s">
        <v>150</v>
      </c>
      <c r="C38" s="35" t="s">
        <v>954</v>
      </c>
      <c r="D38" s="35" t="s">
        <v>1043</v>
      </c>
      <c r="E38" s="35">
        <v>125</v>
      </c>
      <c r="F38" s="34">
        <v>43084</v>
      </c>
    </row>
    <row r="39" spans="1:6" ht="15.75" x14ac:dyDescent="0.25">
      <c r="A39" s="35">
        <v>558979</v>
      </c>
      <c r="B39" s="35" t="s">
        <v>150</v>
      </c>
      <c r="C39" s="35" t="s">
        <v>956</v>
      </c>
      <c r="D39" s="35" t="s">
        <v>1044</v>
      </c>
      <c r="E39" s="35">
        <v>125</v>
      </c>
      <c r="F39" s="34">
        <v>43084</v>
      </c>
    </row>
    <row r="40" spans="1:6" ht="15.75" x14ac:dyDescent="0.25">
      <c r="A40" s="35">
        <v>558979</v>
      </c>
      <c r="B40" s="35" t="s">
        <v>150</v>
      </c>
      <c r="C40" s="35" t="s">
        <v>781</v>
      </c>
      <c r="D40" s="35" t="s">
        <v>1045</v>
      </c>
      <c r="E40" s="35">
        <v>200</v>
      </c>
      <c r="F40" s="34">
        <v>43084</v>
      </c>
    </row>
    <row r="41" spans="1:6" ht="15.75" x14ac:dyDescent="0.25">
      <c r="A41" s="35">
        <v>558979</v>
      </c>
      <c r="B41" s="35" t="s">
        <v>150</v>
      </c>
      <c r="C41" s="35" t="s">
        <v>853</v>
      </c>
      <c r="D41" s="35" t="s">
        <v>1046</v>
      </c>
      <c r="E41" s="35">
        <v>200</v>
      </c>
      <c r="F41" s="34">
        <v>43084</v>
      </c>
    </row>
    <row r="42" spans="1:6" ht="15.75" x14ac:dyDescent="0.25">
      <c r="A42" s="35">
        <v>558979</v>
      </c>
      <c r="B42" s="35" t="s">
        <v>150</v>
      </c>
      <c r="C42" s="35" t="s">
        <v>767</v>
      </c>
      <c r="D42" s="35" t="s">
        <v>1047</v>
      </c>
      <c r="E42" s="35">
        <v>200</v>
      </c>
      <c r="F42" s="34">
        <v>43084</v>
      </c>
    </row>
    <row r="43" spans="1:6" ht="15.75" x14ac:dyDescent="0.25">
      <c r="A43" s="35">
        <v>558979</v>
      </c>
      <c r="B43" s="35" t="s">
        <v>150</v>
      </c>
      <c r="C43" s="35" t="s">
        <v>783</v>
      </c>
      <c r="D43" s="35" t="s">
        <v>1048</v>
      </c>
      <c r="E43" s="35">
        <v>200</v>
      </c>
      <c r="F43" s="34">
        <v>43084</v>
      </c>
    </row>
    <row r="44" spans="1:6" ht="15.75" x14ac:dyDescent="0.25">
      <c r="A44" s="35">
        <v>558979</v>
      </c>
      <c r="B44" s="35" t="s">
        <v>150</v>
      </c>
      <c r="C44" s="35" t="s">
        <v>787</v>
      </c>
      <c r="D44" s="35" t="s">
        <v>1049</v>
      </c>
      <c r="E44" s="35">
        <v>225</v>
      </c>
      <c r="F44" s="34">
        <v>43084</v>
      </c>
    </row>
    <row r="45" spans="1:6" ht="15.75" x14ac:dyDescent="0.25">
      <c r="A45" s="35">
        <v>558979</v>
      </c>
      <c r="B45" s="35" t="s">
        <v>150</v>
      </c>
      <c r="C45" s="35" t="s">
        <v>342</v>
      </c>
      <c r="D45" s="35" t="s">
        <v>1050</v>
      </c>
      <c r="E45" s="35">
        <v>400</v>
      </c>
      <c r="F45" s="34">
        <v>43084</v>
      </c>
    </row>
    <row r="46" spans="1:6" ht="15.75" x14ac:dyDescent="0.25">
      <c r="A46" s="35">
        <v>558979</v>
      </c>
      <c r="B46" s="35" t="s">
        <v>150</v>
      </c>
      <c r="C46" s="35" t="s">
        <v>232</v>
      </c>
      <c r="D46" s="35" t="s">
        <v>1051</v>
      </c>
      <c r="E46" s="35">
        <v>650</v>
      </c>
      <c r="F46" s="34">
        <v>43084</v>
      </c>
    </row>
    <row r="47" spans="1:6" ht="15.75" x14ac:dyDescent="0.25">
      <c r="A47" s="35">
        <v>558921</v>
      </c>
      <c r="B47" s="35" t="s">
        <v>262</v>
      </c>
      <c r="C47" s="35" t="s">
        <v>209</v>
      </c>
      <c r="D47" s="35">
        <v>2000003988</v>
      </c>
      <c r="E47" s="35">
        <v>-990</v>
      </c>
      <c r="F47" s="34">
        <v>43087</v>
      </c>
    </row>
    <row r="48" spans="1:6" ht="15.75" x14ac:dyDescent="0.25">
      <c r="A48" s="35">
        <v>558921</v>
      </c>
      <c r="B48" s="35" t="s">
        <v>262</v>
      </c>
      <c r="C48" s="35" t="s">
        <v>209</v>
      </c>
      <c r="D48" s="35">
        <v>2000003988</v>
      </c>
      <c r="E48" s="35">
        <v>-897</v>
      </c>
      <c r="F48" s="34">
        <v>43087</v>
      </c>
    </row>
    <row r="49" spans="1:6" ht="15.75" x14ac:dyDescent="0.25">
      <c r="A49" s="35">
        <v>558921</v>
      </c>
      <c r="B49" s="35" t="s">
        <v>262</v>
      </c>
      <c r="C49" s="35" t="s">
        <v>209</v>
      </c>
      <c r="D49" s="35">
        <v>2000003988</v>
      </c>
      <c r="E49" s="35">
        <v>-282</v>
      </c>
      <c r="F49" s="34">
        <v>43087</v>
      </c>
    </row>
    <row r="50" spans="1:6" ht="15.75" x14ac:dyDescent="0.25">
      <c r="A50" s="35">
        <v>558921</v>
      </c>
      <c r="B50" s="35" t="s">
        <v>262</v>
      </c>
      <c r="C50" s="35" t="s">
        <v>209</v>
      </c>
      <c r="D50" s="35">
        <v>2000003988</v>
      </c>
      <c r="E50" s="35">
        <v>-275</v>
      </c>
      <c r="F50" s="34">
        <v>43087</v>
      </c>
    </row>
    <row r="51" spans="1:6" ht="15.75" x14ac:dyDescent="0.25">
      <c r="A51" s="35">
        <v>558921</v>
      </c>
      <c r="B51" s="35" t="s">
        <v>262</v>
      </c>
      <c r="C51" s="35" t="s">
        <v>209</v>
      </c>
      <c r="D51" s="35">
        <v>2000003988</v>
      </c>
      <c r="E51" s="35">
        <v>-245</v>
      </c>
      <c r="F51" s="34">
        <v>43087</v>
      </c>
    </row>
    <row r="52" spans="1:6" ht="15.75" x14ac:dyDescent="0.25">
      <c r="A52" s="35">
        <v>527410</v>
      </c>
      <c r="B52" s="35" t="s">
        <v>551</v>
      </c>
      <c r="C52" s="35" t="s">
        <v>209</v>
      </c>
      <c r="D52" s="35">
        <v>2000003988</v>
      </c>
      <c r="E52" s="35">
        <v>-134.85</v>
      </c>
      <c r="F52" s="34">
        <v>43087</v>
      </c>
    </row>
    <row r="53" spans="1:6" ht="15.75" x14ac:dyDescent="0.25">
      <c r="A53" s="35">
        <v>558921</v>
      </c>
      <c r="B53" s="35" t="s">
        <v>262</v>
      </c>
      <c r="C53" s="35" t="s">
        <v>209</v>
      </c>
      <c r="D53" s="35">
        <v>2000003988</v>
      </c>
      <c r="E53" s="35">
        <v>-40</v>
      </c>
      <c r="F53" s="34">
        <v>43087</v>
      </c>
    </row>
    <row r="54" spans="1:6" ht="15.75" x14ac:dyDescent="0.25">
      <c r="A54" s="35">
        <v>558921</v>
      </c>
      <c r="B54" s="35" t="s">
        <v>262</v>
      </c>
      <c r="C54" s="35" t="s">
        <v>209</v>
      </c>
      <c r="D54" s="35">
        <v>2000003988</v>
      </c>
      <c r="E54" s="35">
        <v>-40</v>
      </c>
      <c r="F54" s="34">
        <v>43087</v>
      </c>
    </row>
    <row r="55" spans="1:6" ht="15.75" x14ac:dyDescent="0.25">
      <c r="A55" s="35">
        <v>558921</v>
      </c>
      <c r="B55" s="35" t="s">
        <v>262</v>
      </c>
      <c r="C55" s="35" t="s">
        <v>209</v>
      </c>
      <c r="D55" s="35">
        <v>2000003988</v>
      </c>
      <c r="E55" s="35">
        <v>-30</v>
      </c>
      <c r="F55" s="34">
        <v>43087</v>
      </c>
    </row>
    <row r="56" spans="1:6" ht="15.75" x14ac:dyDescent="0.25">
      <c r="A56" s="35">
        <v>526742</v>
      </c>
      <c r="B56" s="35" t="s">
        <v>26</v>
      </c>
      <c r="C56" s="35" t="s">
        <v>232</v>
      </c>
      <c r="D56" s="35" t="s">
        <v>1052</v>
      </c>
      <c r="E56" s="35">
        <v>18.899999999999999</v>
      </c>
      <c r="F56" s="34">
        <v>43087</v>
      </c>
    </row>
    <row r="57" spans="1:6" ht="15.75" x14ac:dyDescent="0.25">
      <c r="A57" s="35">
        <v>526712</v>
      </c>
      <c r="B57" s="35" t="s">
        <v>14</v>
      </c>
      <c r="C57" s="35" t="s">
        <v>232</v>
      </c>
      <c r="D57" s="35" t="s">
        <v>1052</v>
      </c>
      <c r="E57" s="35">
        <v>130.12</v>
      </c>
      <c r="F57" s="34">
        <v>43087</v>
      </c>
    </row>
    <row r="58" spans="1:6" ht="15.75" x14ac:dyDescent="0.25">
      <c r="A58" s="35">
        <v>587890</v>
      </c>
      <c r="B58" s="35" t="s">
        <v>32</v>
      </c>
      <c r="C58" s="35" t="s">
        <v>348</v>
      </c>
      <c r="D58" s="35" t="s">
        <v>1053</v>
      </c>
      <c r="E58" s="35">
        <v>266.83</v>
      </c>
      <c r="F58" s="34">
        <v>43087</v>
      </c>
    </row>
    <row r="59" spans="1:6" ht="15.75" x14ac:dyDescent="0.25">
      <c r="A59" s="35">
        <v>587890</v>
      </c>
      <c r="B59" s="35" t="s">
        <v>32</v>
      </c>
      <c r="C59" s="35" t="s">
        <v>348</v>
      </c>
      <c r="D59" s="35" t="s">
        <v>1054</v>
      </c>
      <c r="E59" s="35">
        <v>500</v>
      </c>
      <c r="F59" s="34">
        <v>43087</v>
      </c>
    </row>
    <row r="60" spans="1:6" ht="15.75" x14ac:dyDescent="0.25">
      <c r="A60" s="35">
        <v>587890</v>
      </c>
      <c r="B60" s="35" t="s">
        <v>32</v>
      </c>
      <c r="C60" s="35" t="s">
        <v>348</v>
      </c>
      <c r="D60" s="35" t="s">
        <v>1055</v>
      </c>
      <c r="E60" s="35">
        <v>525</v>
      </c>
      <c r="F60" s="34">
        <v>43087</v>
      </c>
    </row>
    <row r="61" spans="1:6" ht="15.75" x14ac:dyDescent="0.25">
      <c r="A61" s="35">
        <v>587890</v>
      </c>
      <c r="B61" s="35" t="s">
        <v>32</v>
      </c>
      <c r="C61" s="35" t="s">
        <v>348</v>
      </c>
      <c r="D61" s="35" t="s">
        <v>1056</v>
      </c>
      <c r="E61" s="35">
        <v>618.05999999999995</v>
      </c>
      <c r="F61" s="34">
        <v>43087</v>
      </c>
    </row>
    <row r="62" spans="1:6" ht="15.75" x14ac:dyDescent="0.25">
      <c r="A62" s="35">
        <v>587890</v>
      </c>
      <c r="B62" s="35" t="s">
        <v>32</v>
      </c>
      <c r="C62" s="35" t="s">
        <v>458</v>
      </c>
      <c r="D62" s="35" t="s">
        <v>1057</v>
      </c>
      <c r="E62" s="35">
        <v>1040</v>
      </c>
      <c r="F62" s="34">
        <v>43087</v>
      </c>
    </row>
    <row r="63" spans="1:6" ht="15.75" x14ac:dyDescent="0.25">
      <c r="A63" s="35">
        <v>587890</v>
      </c>
      <c r="B63" s="35" t="s">
        <v>32</v>
      </c>
      <c r="C63" s="35" t="s">
        <v>350</v>
      </c>
      <c r="D63" s="35" t="s">
        <v>1058</v>
      </c>
      <c r="E63" s="35">
        <v>1300</v>
      </c>
      <c r="F63" s="34">
        <v>43087</v>
      </c>
    </row>
    <row r="64" spans="1:6" ht="15.75" x14ac:dyDescent="0.25">
      <c r="A64" s="35">
        <v>587890</v>
      </c>
      <c r="B64" s="35" t="s">
        <v>32</v>
      </c>
      <c r="C64" s="35" t="s">
        <v>447</v>
      </c>
      <c r="D64" s="35" t="s">
        <v>1059</v>
      </c>
      <c r="E64" s="35">
        <v>1425</v>
      </c>
      <c r="F64" s="34">
        <v>43087</v>
      </c>
    </row>
    <row r="65" spans="1:6" ht="15.75" x14ac:dyDescent="0.25">
      <c r="A65" s="35">
        <v>587890</v>
      </c>
      <c r="B65" s="35" t="s">
        <v>32</v>
      </c>
      <c r="C65" s="35" t="s">
        <v>462</v>
      </c>
      <c r="D65" s="35" t="s">
        <v>1060</v>
      </c>
      <c r="E65" s="35">
        <v>1500</v>
      </c>
      <c r="F65" s="34">
        <v>43087</v>
      </c>
    </row>
    <row r="66" spans="1:6" ht="15.75" x14ac:dyDescent="0.25">
      <c r="A66" s="35">
        <v>527120</v>
      </c>
      <c r="B66" s="35" t="s">
        <v>143</v>
      </c>
      <c r="C66" s="35" t="s">
        <v>144</v>
      </c>
      <c r="D66" s="35" t="s">
        <v>1061</v>
      </c>
      <c r="E66" s="35">
        <v>14.5</v>
      </c>
      <c r="F66" s="34">
        <v>43088</v>
      </c>
    </row>
    <row r="67" spans="1:6" ht="15.75" x14ac:dyDescent="0.25">
      <c r="A67" s="35">
        <v>527120</v>
      </c>
      <c r="B67" s="35" t="s">
        <v>143</v>
      </c>
      <c r="C67" s="35" t="s">
        <v>144</v>
      </c>
      <c r="D67" s="35" t="s">
        <v>1061</v>
      </c>
      <c r="E67" s="35">
        <v>14.5</v>
      </c>
      <c r="F67" s="34">
        <v>43088</v>
      </c>
    </row>
    <row r="68" spans="1:6" ht="15.75" x14ac:dyDescent="0.25">
      <c r="A68" s="35">
        <v>558979</v>
      </c>
      <c r="B68" s="35" t="s">
        <v>150</v>
      </c>
      <c r="C68" s="35" t="s">
        <v>1062</v>
      </c>
      <c r="D68" s="35" t="s">
        <v>1063</v>
      </c>
      <c r="E68" s="35">
        <v>150</v>
      </c>
      <c r="F68" s="34">
        <v>43089</v>
      </c>
    </row>
    <row r="69" spans="1:6" ht="15.75" x14ac:dyDescent="0.25">
      <c r="A69" s="35">
        <v>558979</v>
      </c>
      <c r="B69" s="35" t="s">
        <v>150</v>
      </c>
      <c r="C69" s="35" t="s">
        <v>771</v>
      </c>
      <c r="D69" s="35" t="s">
        <v>1064</v>
      </c>
      <c r="E69" s="35">
        <v>200</v>
      </c>
      <c r="F69" s="34">
        <v>43089</v>
      </c>
    </row>
    <row r="70" spans="1:6" ht="15.75" x14ac:dyDescent="0.25">
      <c r="A70" s="35">
        <v>487110</v>
      </c>
      <c r="B70" s="35" t="s">
        <v>36</v>
      </c>
      <c r="C70" s="35" t="s">
        <v>1065</v>
      </c>
      <c r="D70" s="35" t="s">
        <v>1066</v>
      </c>
      <c r="E70" s="35">
        <v>8919.66</v>
      </c>
      <c r="F70" s="34">
        <v>43091</v>
      </c>
    </row>
  </sheetData>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D3258-1421-4F70-AE3B-4B4D20A680BB}">
  <dimension ref="A1:F33"/>
  <sheetViews>
    <sheetView workbookViewId="0">
      <selection activeCell="C22" sqref="C22"/>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526712</v>
      </c>
      <c r="B2" s="35" t="s">
        <v>14</v>
      </c>
      <c r="C2" s="35" t="s">
        <v>232</v>
      </c>
      <c r="D2" s="35" t="s">
        <v>981</v>
      </c>
      <c r="E2" s="35">
        <v>128.76</v>
      </c>
      <c r="F2" s="34">
        <v>43046</v>
      </c>
    </row>
    <row r="3" spans="1:6" ht="15.75" x14ac:dyDescent="0.25">
      <c r="A3" s="35">
        <v>526712</v>
      </c>
      <c r="B3" s="35" t="s">
        <v>14</v>
      </c>
      <c r="C3" s="35" t="s">
        <v>232</v>
      </c>
      <c r="D3" s="35" t="s">
        <v>982</v>
      </c>
      <c r="E3" s="35">
        <v>129.78</v>
      </c>
      <c r="F3" s="34">
        <v>43046</v>
      </c>
    </row>
    <row r="4" spans="1:6" ht="15.75" x14ac:dyDescent="0.25">
      <c r="A4" s="35">
        <v>558979</v>
      </c>
      <c r="B4" s="35" t="s">
        <v>150</v>
      </c>
      <c r="C4" s="35" t="s">
        <v>942</v>
      </c>
      <c r="D4" s="35" t="s">
        <v>983</v>
      </c>
      <c r="E4" s="35">
        <v>125</v>
      </c>
      <c r="F4" s="34">
        <v>43055</v>
      </c>
    </row>
    <row r="5" spans="1:6" ht="15.75" x14ac:dyDescent="0.25">
      <c r="A5" s="35">
        <v>558979</v>
      </c>
      <c r="B5" s="35" t="s">
        <v>150</v>
      </c>
      <c r="C5" s="35" t="s">
        <v>311</v>
      </c>
      <c r="D5" s="35" t="s">
        <v>984</v>
      </c>
      <c r="E5" s="35">
        <v>125</v>
      </c>
      <c r="F5" s="34">
        <v>43055</v>
      </c>
    </row>
    <row r="6" spans="1:6" ht="15.75" x14ac:dyDescent="0.25">
      <c r="A6" s="35">
        <v>558979</v>
      </c>
      <c r="B6" s="35" t="s">
        <v>150</v>
      </c>
      <c r="C6" s="35" t="s">
        <v>961</v>
      </c>
      <c r="D6" s="35" t="s">
        <v>985</v>
      </c>
      <c r="E6" s="35">
        <v>125</v>
      </c>
      <c r="F6" s="34">
        <v>43055</v>
      </c>
    </row>
    <row r="7" spans="1:6" ht="15.75" x14ac:dyDescent="0.25">
      <c r="A7" s="35">
        <v>558979</v>
      </c>
      <c r="B7" s="35" t="s">
        <v>150</v>
      </c>
      <c r="C7" s="35" t="s">
        <v>956</v>
      </c>
      <c r="D7" s="35" t="s">
        <v>986</v>
      </c>
      <c r="E7" s="35">
        <v>125</v>
      </c>
      <c r="F7" s="34">
        <v>43055</v>
      </c>
    </row>
    <row r="8" spans="1:6" ht="15.75" x14ac:dyDescent="0.25">
      <c r="A8" s="35">
        <v>558979</v>
      </c>
      <c r="B8" s="35" t="s">
        <v>150</v>
      </c>
      <c r="C8" s="35" t="s">
        <v>947</v>
      </c>
      <c r="D8" s="35" t="s">
        <v>987</v>
      </c>
      <c r="E8" s="35">
        <v>125</v>
      </c>
      <c r="F8" s="34">
        <v>43055</v>
      </c>
    </row>
    <row r="9" spans="1:6" ht="15.75" x14ac:dyDescent="0.25">
      <c r="A9" s="35">
        <v>558979</v>
      </c>
      <c r="B9" s="35" t="s">
        <v>150</v>
      </c>
      <c r="C9" s="35" t="s">
        <v>323</v>
      </c>
      <c r="D9" s="35" t="s">
        <v>988</v>
      </c>
      <c r="E9" s="35">
        <v>125</v>
      </c>
      <c r="F9" s="34">
        <v>43055</v>
      </c>
    </row>
    <row r="10" spans="1:6" ht="15.75" x14ac:dyDescent="0.25">
      <c r="A10" s="35">
        <v>558979</v>
      </c>
      <c r="B10" s="35" t="s">
        <v>150</v>
      </c>
      <c r="C10" s="35" t="s">
        <v>954</v>
      </c>
      <c r="D10" s="35" t="s">
        <v>989</v>
      </c>
      <c r="E10" s="35">
        <v>125</v>
      </c>
      <c r="F10" s="34">
        <v>43055</v>
      </c>
    </row>
    <row r="11" spans="1:6" ht="15.75" x14ac:dyDescent="0.25">
      <c r="A11" s="35">
        <v>558979</v>
      </c>
      <c r="B11" s="35" t="s">
        <v>150</v>
      </c>
      <c r="C11" s="35" t="s">
        <v>952</v>
      </c>
      <c r="D11" s="35" t="s">
        <v>990</v>
      </c>
      <c r="E11" s="35">
        <v>125</v>
      </c>
      <c r="F11" s="34">
        <v>43055</v>
      </c>
    </row>
    <row r="12" spans="1:6" ht="15.75" x14ac:dyDescent="0.25">
      <c r="A12" s="35">
        <v>558979</v>
      </c>
      <c r="B12" s="35" t="s">
        <v>150</v>
      </c>
      <c r="C12" s="35" t="s">
        <v>309</v>
      </c>
      <c r="D12" s="35" t="s">
        <v>991</v>
      </c>
      <c r="E12" s="35">
        <v>125</v>
      </c>
      <c r="F12" s="34">
        <v>43055</v>
      </c>
    </row>
    <row r="13" spans="1:6" ht="15.75" x14ac:dyDescent="0.25">
      <c r="A13" s="35">
        <v>558979</v>
      </c>
      <c r="B13" s="35" t="s">
        <v>150</v>
      </c>
      <c r="C13" s="35" t="s">
        <v>945</v>
      </c>
      <c r="D13" s="35" t="s">
        <v>992</v>
      </c>
      <c r="E13" s="35">
        <v>125</v>
      </c>
      <c r="F13" s="34">
        <v>43055</v>
      </c>
    </row>
    <row r="14" spans="1:6" ht="15.75" x14ac:dyDescent="0.25">
      <c r="A14" s="35">
        <v>558979</v>
      </c>
      <c r="B14" s="35" t="s">
        <v>150</v>
      </c>
      <c r="C14" s="35" t="s">
        <v>949</v>
      </c>
      <c r="D14" s="35" t="s">
        <v>993</v>
      </c>
      <c r="E14" s="35">
        <v>125</v>
      </c>
      <c r="F14" s="34">
        <v>43055</v>
      </c>
    </row>
    <row r="15" spans="1:6" ht="15.75" x14ac:dyDescent="0.25">
      <c r="A15" s="35">
        <v>558979</v>
      </c>
      <c r="B15" s="35" t="s">
        <v>150</v>
      </c>
      <c r="C15" s="35" t="s">
        <v>853</v>
      </c>
      <c r="D15" s="35" t="s">
        <v>994</v>
      </c>
      <c r="E15" s="35">
        <v>200</v>
      </c>
      <c r="F15" s="34">
        <v>43055</v>
      </c>
    </row>
    <row r="16" spans="1:6" ht="15.75" x14ac:dyDescent="0.25">
      <c r="A16" s="35">
        <v>558979</v>
      </c>
      <c r="B16" s="35" t="s">
        <v>150</v>
      </c>
      <c r="C16" s="35" t="s">
        <v>781</v>
      </c>
      <c r="D16" s="35" t="s">
        <v>995</v>
      </c>
      <c r="E16" s="35">
        <v>200</v>
      </c>
      <c r="F16" s="34">
        <v>43055</v>
      </c>
    </row>
    <row r="17" spans="1:6" ht="15.75" x14ac:dyDescent="0.25">
      <c r="A17" s="35">
        <v>558979</v>
      </c>
      <c r="B17" s="35" t="s">
        <v>150</v>
      </c>
      <c r="C17" s="35" t="s">
        <v>783</v>
      </c>
      <c r="D17" s="35" t="s">
        <v>996</v>
      </c>
      <c r="E17" s="35">
        <v>200</v>
      </c>
      <c r="F17" s="34">
        <v>43055</v>
      </c>
    </row>
    <row r="18" spans="1:6" ht="15.75" x14ac:dyDescent="0.25">
      <c r="A18" s="35">
        <v>558979</v>
      </c>
      <c r="B18" s="35" t="s">
        <v>150</v>
      </c>
      <c r="C18" s="35" t="s">
        <v>767</v>
      </c>
      <c r="D18" s="35" t="s">
        <v>997</v>
      </c>
      <c r="E18" s="35">
        <v>200</v>
      </c>
      <c r="F18" s="34">
        <v>43055</v>
      </c>
    </row>
    <row r="19" spans="1:6" ht="15.75" x14ac:dyDescent="0.25">
      <c r="A19" s="35">
        <v>558979</v>
      </c>
      <c r="B19" s="35" t="s">
        <v>150</v>
      </c>
      <c r="C19" s="35" t="s">
        <v>787</v>
      </c>
      <c r="D19" s="35" t="s">
        <v>998</v>
      </c>
      <c r="E19" s="35">
        <v>225</v>
      </c>
      <c r="F19" s="34">
        <v>43055</v>
      </c>
    </row>
    <row r="20" spans="1:6" ht="15.75" x14ac:dyDescent="0.25">
      <c r="A20" s="35">
        <v>558979</v>
      </c>
      <c r="B20" s="35" t="s">
        <v>150</v>
      </c>
      <c r="C20" s="35" t="s">
        <v>342</v>
      </c>
      <c r="D20" s="35" t="s">
        <v>999</v>
      </c>
      <c r="E20" s="35">
        <v>400</v>
      </c>
      <c r="F20" s="34">
        <v>43055</v>
      </c>
    </row>
    <row r="21" spans="1:6" ht="15.75" x14ac:dyDescent="0.25">
      <c r="A21" s="35">
        <v>558979</v>
      </c>
      <c r="B21" s="35" t="s">
        <v>150</v>
      </c>
      <c r="C21" s="35" t="s">
        <v>232</v>
      </c>
      <c r="D21" s="35" t="s">
        <v>1000</v>
      </c>
      <c r="E21" s="35">
        <v>650</v>
      </c>
      <c r="F21" s="34">
        <v>43055</v>
      </c>
    </row>
    <row r="22" spans="1:6" ht="15.75" x14ac:dyDescent="0.25">
      <c r="A22" s="35">
        <v>558979</v>
      </c>
      <c r="B22" s="35" t="s">
        <v>150</v>
      </c>
      <c r="C22" s="35" t="s">
        <v>1001</v>
      </c>
      <c r="D22" s="35" t="s">
        <v>1002</v>
      </c>
      <c r="E22" s="35">
        <v>125</v>
      </c>
      <c r="F22" s="34">
        <v>43059</v>
      </c>
    </row>
    <row r="23" spans="1:6" ht="15.75" x14ac:dyDescent="0.25">
      <c r="A23" s="35">
        <v>558979</v>
      </c>
      <c r="B23" s="35" t="s">
        <v>150</v>
      </c>
      <c r="C23" s="35" t="s">
        <v>927</v>
      </c>
      <c r="D23" s="35" t="s">
        <v>1003</v>
      </c>
      <c r="E23" s="35">
        <v>250</v>
      </c>
      <c r="F23" s="34">
        <v>43059</v>
      </c>
    </row>
    <row r="24" spans="1:6" ht="15.75" x14ac:dyDescent="0.25">
      <c r="A24" s="35">
        <v>527120</v>
      </c>
      <c r="B24" s="35" t="s">
        <v>143</v>
      </c>
      <c r="C24" s="35" t="s">
        <v>144</v>
      </c>
      <c r="D24" s="35" t="s">
        <v>1004</v>
      </c>
      <c r="E24" s="35">
        <v>14.5</v>
      </c>
      <c r="F24" s="34">
        <v>43060</v>
      </c>
    </row>
    <row r="25" spans="1:6" ht="15.75" x14ac:dyDescent="0.25">
      <c r="A25" s="35">
        <v>527120</v>
      </c>
      <c r="B25" s="35" t="s">
        <v>143</v>
      </c>
      <c r="C25" s="35" t="s">
        <v>144</v>
      </c>
      <c r="D25" s="35" t="s">
        <v>1005</v>
      </c>
      <c r="E25" s="35">
        <v>14.5</v>
      </c>
      <c r="F25" s="34">
        <v>43060</v>
      </c>
    </row>
    <row r="26" spans="1:6" ht="15.75" x14ac:dyDescent="0.25">
      <c r="A26" s="35">
        <v>527120</v>
      </c>
      <c r="B26" s="35" t="s">
        <v>143</v>
      </c>
      <c r="C26" s="35" t="s">
        <v>144</v>
      </c>
      <c r="D26" s="35" t="s">
        <v>1005</v>
      </c>
      <c r="E26" s="35">
        <v>14.5</v>
      </c>
      <c r="F26" s="34">
        <v>43060</v>
      </c>
    </row>
    <row r="27" spans="1:6" ht="15.75" x14ac:dyDescent="0.25">
      <c r="A27" s="35">
        <v>527120</v>
      </c>
      <c r="B27" s="35" t="s">
        <v>143</v>
      </c>
      <c r="C27" s="35" t="s">
        <v>144</v>
      </c>
      <c r="D27" s="35" t="s">
        <v>1004</v>
      </c>
      <c r="E27" s="35">
        <v>28.52</v>
      </c>
      <c r="F27" s="34">
        <v>43060</v>
      </c>
    </row>
    <row r="28" spans="1:6" ht="15.75" x14ac:dyDescent="0.25">
      <c r="A28" s="35">
        <v>515130</v>
      </c>
      <c r="B28" s="35" t="s">
        <v>10</v>
      </c>
      <c r="C28" s="35" t="s">
        <v>165</v>
      </c>
      <c r="D28" s="35" t="s">
        <v>1006</v>
      </c>
      <c r="E28" s="35">
        <v>97.25</v>
      </c>
      <c r="F28" s="34">
        <v>43069</v>
      </c>
    </row>
    <row r="29" spans="1:6" ht="15.75" x14ac:dyDescent="0.25">
      <c r="A29" s="35">
        <v>515530</v>
      </c>
      <c r="B29" s="35" t="s">
        <v>13</v>
      </c>
      <c r="C29" s="35" t="s">
        <v>165</v>
      </c>
      <c r="D29" s="35" t="s">
        <v>1006</v>
      </c>
      <c r="E29" s="35">
        <v>399.57</v>
      </c>
      <c r="F29" s="34">
        <v>43069</v>
      </c>
    </row>
    <row r="30" spans="1:6" ht="15.75" x14ac:dyDescent="0.25">
      <c r="A30" s="35">
        <v>515120</v>
      </c>
      <c r="B30" s="35" t="s">
        <v>9</v>
      </c>
      <c r="C30" s="35" t="s">
        <v>165</v>
      </c>
      <c r="D30" s="35" t="s">
        <v>1006</v>
      </c>
      <c r="E30" s="35">
        <v>415.82</v>
      </c>
      <c r="F30" s="34">
        <v>43069</v>
      </c>
    </row>
    <row r="31" spans="1:6" ht="15.75" x14ac:dyDescent="0.25">
      <c r="A31" s="35">
        <v>515420</v>
      </c>
      <c r="B31" s="35" t="s">
        <v>12</v>
      </c>
      <c r="C31" s="35" t="s">
        <v>165</v>
      </c>
      <c r="D31" s="35" t="s">
        <v>1006</v>
      </c>
      <c r="E31" s="35">
        <v>428.14</v>
      </c>
      <c r="F31" s="34">
        <v>43069</v>
      </c>
    </row>
    <row r="32" spans="1:6" ht="15.75" x14ac:dyDescent="0.25">
      <c r="A32" s="35">
        <v>515410</v>
      </c>
      <c r="B32" s="35" t="s">
        <v>11</v>
      </c>
      <c r="C32" s="35" t="s">
        <v>165</v>
      </c>
      <c r="D32" s="35" t="s">
        <v>1006</v>
      </c>
      <c r="E32" s="35">
        <v>473.1</v>
      </c>
      <c r="F32" s="34">
        <v>43069</v>
      </c>
    </row>
    <row r="33" spans="1:6" ht="15.75" x14ac:dyDescent="0.25">
      <c r="A33" s="35">
        <v>511120</v>
      </c>
      <c r="B33" s="35" t="s">
        <v>6</v>
      </c>
      <c r="C33" s="35" t="s">
        <v>165</v>
      </c>
      <c r="D33" s="35" t="s">
        <v>1006</v>
      </c>
      <c r="E33" s="35">
        <v>6916.64</v>
      </c>
      <c r="F33" s="34">
        <v>43069</v>
      </c>
    </row>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A4228-ACC6-44A0-9D02-DBDAC416BDBE}">
  <dimension ref="A1:F76"/>
  <sheetViews>
    <sheetView workbookViewId="0">
      <selection activeCell="C17" sqref="C17"/>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526712</v>
      </c>
      <c r="B2" s="35" t="s">
        <v>14</v>
      </c>
      <c r="C2" s="35" t="s">
        <v>288</v>
      </c>
      <c r="D2" s="35" t="s">
        <v>908</v>
      </c>
      <c r="E2" s="35">
        <v>152.22</v>
      </c>
      <c r="F2" s="34">
        <v>43009</v>
      </c>
    </row>
    <row r="3" spans="1:6" ht="15.75" x14ac:dyDescent="0.25">
      <c r="A3" s="35">
        <v>531110</v>
      </c>
      <c r="B3" s="35" t="s">
        <v>27</v>
      </c>
      <c r="C3" s="35" t="s">
        <v>142</v>
      </c>
      <c r="D3" s="35">
        <v>2000003570</v>
      </c>
      <c r="E3" s="35">
        <v>0</v>
      </c>
      <c r="F3" s="34">
        <v>43010</v>
      </c>
    </row>
    <row r="4" spans="1:6" ht="15.75" x14ac:dyDescent="0.25">
      <c r="A4" s="35">
        <v>531110</v>
      </c>
      <c r="B4" s="35" t="s">
        <v>27</v>
      </c>
      <c r="C4" s="35" t="s">
        <v>142</v>
      </c>
      <c r="D4" s="35">
        <v>2000003567</v>
      </c>
      <c r="E4" s="35">
        <v>0</v>
      </c>
      <c r="F4" s="34">
        <v>43010</v>
      </c>
    </row>
    <row r="5" spans="1:6" ht="15.75" x14ac:dyDescent="0.25">
      <c r="A5" s="35">
        <v>531110</v>
      </c>
      <c r="B5" s="35" t="s">
        <v>27</v>
      </c>
      <c r="C5" s="35" t="s">
        <v>142</v>
      </c>
      <c r="D5" s="35">
        <v>2000003570</v>
      </c>
      <c r="E5" s="35">
        <v>0</v>
      </c>
      <c r="F5" s="34">
        <v>43010</v>
      </c>
    </row>
    <row r="6" spans="1:6" ht="15.75" x14ac:dyDescent="0.25">
      <c r="A6" s="35">
        <v>531110</v>
      </c>
      <c r="B6" s="35" t="s">
        <v>27</v>
      </c>
      <c r="C6" s="35" t="s">
        <v>142</v>
      </c>
      <c r="D6" s="35">
        <v>2000003567</v>
      </c>
      <c r="E6" s="35">
        <v>0</v>
      </c>
      <c r="F6" s="34">
        <v>43010</v>
      </c>
    </row>
    <row r="7" spans="1:6" ht="15.75" x14ac:dyDescent="0.25">
      <c r="A7" s="35">
        <v>531110</v>
      </c>
      <c r="B7" s="35" t="s">
        <v>27</v>
      </c>
      <c r="C7" s="35" t="s">
        <v>142</v>
      </c>
      <c r="D7" s="35">
        <v>2000003570</v>
      </c>
      <c r="E7" s="35">
        <v>21.16</v>
      </c>
      <c r="F7" s="34">
        <v>43010</v>
      </c>
    </row>
    <row r="8" spans="1:6" ht="15.75" x14ac:dyDescent="0.25">
      <c r="A8" s="35">
        <v>531110</v>
      </c>
      <c r="B8" s="35" t="s">
        <v>27</v>
      </c>
      <c r="C8" s="35" t="s">
        <v>142</v>
      </c>
      <c r="D8" s="35">
        <v>2000003567</v>
      </c>
      <c r="E8" s="35">
        <v>21.16</v>
      </c>
      <c r="F8" s="34">
        <v>43010</v>
      </c>
    </row>
    <row r="9" spans="1:6" ht="15.75" x14ac:dyDescent="0.25">
      <c r="A9" s="35">
        <v>531110</v>
      </c>
      <c r="B9" s="35" t="s">
        <v>27</v>
      </c>
      <c r="C9" s="35" t="s">
        <v>142</v>
      </c>
      <c r="D9" s="35">
        <v>2000003570</v>
      </c>
      <c r="E9" s="35">
        <v>21.16</v>
      </c>
      <c r="F9" s="34">
        <v>43010</v>
      </c>
    </row>
    <row r="10" spans="1:6" ht="15.75" x14ac:dyDescent="0.25">
      <c r="A10" s="35">
        <v>531110</v>
      </c>
      <c r="B10" s="35" t="s">
        <v>27</v>
      </c>
      <c r="C10" s="35" t="s">
        <v>142</v>
      </c>
      <c r="D10" s="35">
        <v>2000003567</v>
      </c>
      <c r="E10" s="35">
        <v>21.16</v>
      </c>
      <c r="F10" s="34">
        <v>43010</v>
      </c>
    </row>
    <row r="11" spans="1:6" ht="15.75" x14ac:dyDescent="0.25">
      <c r="A11" s="35">
        <v>531110</v>
      </c>
      <c r="B11" s="35" t="s">
        <v>27</v>
      </c>
      <c r="C11" s="35"/>
      <c r="D11" s="35">
        <v>1000003976</v>
      </c>
      <c r="E11" s="35">
        <v>0</v>
      </c>
      <c r="F11" s="34">
        <v>43011</v>
      </c>
    </row>
    <row r="12" spans="1:6" ht="15.75" x14ac:dyDescent="0.25">
      <c r="A12" s="35">
        <v>531110</v>
      </c>
      <c r="B12" s="35" t="s">
        <v>27</v>
      </c>
      <c r="C12" s="35"/>
      <c r="D12" s="35">
        <v>1000003975</v>
      </c>
      <c r="E12" s="35">
        <v>0</v>
      </c>
      <c r="F12" s="34">
        <v>43011</v>
      </c>
    </row>
    <row r="13" spans="1:6" ht="15.75" x14ac:dyDescent="0.25">
      <c r="A13" s="35">
        <v>531110</v>
      </c>
      <c r="B13" s="35" t="s">
        <v>27</v>
      </c>
      <c r="C13" s="35"/>
      <c r="D13" s="35">
        <v>1000003975</v>
      </c>
      <c r="E13" s="35">
        <v>0</v>
      </c>
      <c r="F13" s="34">
        <v>43011</v>
      </c>
    </row>
    <row r="14" spans="1:6" ht="15.75" x14ac:dyDescent="0.25">
      <c r="A14" s="35">
        <v>531110</v>
      </c>
      <c r="B14" s="35" t="s">
        <v>27</v>
      </c>
      <c r="C14" s="35"/>
      <c r="D14" s="35">
        <v>1000003976</v>
      </c>
      <c r="E14" s="35">
        <v>0</v>
      </c>
      <c r="F14" s="34">
        <v>43011</v>
      </c>
    </row>
    <row r="15" spans="1:6" ht="15.75" x14ac:dyDescent="0.25">
      <c r="A15" s="35">
        <v>531110</v>
      </c>
      <c r="B15" s="35" t="s">
        <v>27</v>
      </c>
      <c r="C15" s="35"/>
      <c r="D15" s="35">
        <v>1000003975</v>
      </c>
      <c r="E15" s="35">
        <v>21.16</v>
      </c>
      <c r="F15" s="34">
        <v>43011</v>
      </c>
    </row>
    <row r="16" spans="1:6" ht="15.75" x14ac:dyDescent="0.25">
      <c r="A16" s="35">
        <v>531110</v>
      </c>
      <c r="B16" s="35" t="s">
        <v>27</v>
      </c>
      <c r="C16" s="35"/>
      <c r="D16" s="35">
        <v>1000003976</v>
      </c>
      <c r="E16" s="35">
        <v>21.16</v>
      </c>
      <c r="F16" s="34">
        <v>43011</v>
      </c>
    </row>
    <row r="17" spans="1:6" ht="15.75" x14ac:dyDescent="0.25">
      <c r="A17" s="35">
        <v>531110</v>
      </c>
      <c r="B17" s="35" t="s">
        <v>27</v>
      </c>
      <c r="C17" s="35"/>
      <c r="D17" s="35">
        <v>1000003976</v>
      </c>
      <c r="E17" s="35">
        <v>21.16</v>
      </c>
      <c r="F17" s="34">
        <v>43011</v>
      </c>
    </row>
    <row r="18" spans="1:6" ht="15.75" x14ac:dyDescent="0.25">
      <c r="A18" s="35">
        <v>531110</v>
      </c>
      <c r="B18" s="35" t="s">
        <v>27</v>
      </c>
      <c r="C18" s="35"/>
      <c r="D18" s="35">
        <v>1000003975</v>
      </c>
      <c r="E18" s="35">
        <v>21.16</v>
      </c>
      <c r="F18" s="34">
        <v>43011</v>
      </c>
    </row>
    <row r="19" spans="1:6" ht="15.75" x14ac:dyDescent="0.25">
      <c r="A19" s="35">
        <v>526712</v>
      </c>
      <c r="B19" s="35" t="s">
        <v>14</v>
      </c>
      <c r="C19" s="35" t="s">
        <v>323</v>
      </c>
      <c r="D19" s="35" t="s">
        <v>909</v>
      </c>
      <c r="E19" s="35">
        <v>58.42</v>
      </c>
      <c r="F19" s="34">
        <v>43011</v>
      </c>
    </row>
    <row r="20" spans="1:6" ht="15.75" x14ac:dyDescent="0.25">
      <c r="A20" s="35">
        <v>526712</v>
      </c>
      <c r="B20" s="35" t="s">
        <v>14</v>
      </c>
      <c r="C20" s="35" t="s">
        <v>910</v>
      </c>
      <c r="D20" s="35" t="s">
        <v>911</v>
      </c>
      <c r="E20" s="35">
        <v>85.38</v>
      </c>
      <c r="F20" s="34">
        <v>43011</v>
      </c>
    </row>
    <row r="21" spans="1:6" ht="15.75" x14ac:dyDescent="0.25">
      <c r="A21" s="35">
        <v>526712</v>
      </c>
      <c r="B21" s="35" t="s">
        <v>14</v>
      </c>
      <c r="C21" s="35" t="s">
        <v>912</v>
      </c>
      <c r="D21" s="35" t="s">
        <v>913</v>
      </c>
      <c r="E21" s="35">
        <v>111.08</v>
      </c>
      <c r="F21" s="34">
        <v>43011</v>
      </c>
    </row>
    <row r="22" spans="1:6" ht="15.75" x14ac:dyDescent="0.25">
      <c r="A22" s="35">
        <v>558921</v>
      </c>
      <c r="B22" s="35" t="s">
        <v>262</v>
      </c>
      <c r="C22" s="35" t="s">
        <v>178</v>
      </c>
      <c r="D22" s="35" t="s">
        <v>914</v>
      </c>
      <c r="E22" s="35">
        <v>491.59</v>
      </c>
      <c r="F22" s="34">
        <v>43011</v>
      </c>
    </row>
    <row r="23" spans="1:6" ht="15.75" x14ac:dyDescent="0.25">
      <c r="A23" s="35">
        <v>487110</v>
      </c>
      <c r="B23" s="35" t="s">
        <v>36</v>
      </c>
      <c r="C23" s="35" t="s">
        <v>915</v>
      </c>
      <c r="D23" s="35" t="s">
        <v>916</v>
      </c>
      <c r="E23" s="35">
        <v>2677.25</v>
      </c>
      <c r="F23" s="34">
        <v>43011</v>
      </c>
    </row>
    <row r="24" spans="1:6" ht="15.75" x14ac:dyDescent="0.25">
      <c r="A24" s="35">
        <v>487110</v>
      </c>
      <c r="B24" s="35" t="s">
        <v>36</v>
      </c>
      <c r="C24" s="35" t="s">
        <v>917</v>
      </c>
      <c r="D24" s="35" t="s">
        <v>918</v>
      </c>
      <c r="E24" s="35">
        <v>6247.38</v>
      </c>
      <c r="F24" s="34">
        <v>43011</v>
      </c>
    </row>
    <row r="25" spans="1:6" ht="15.75" x14ac:dyDescent="0.25">
      <c r="A25" s="35">
        <v>526742</v>
      </c>
      <c r="B25" s="35" t="s">
        <v>26</v>
      </c>
      <c r="C25" s="35" t="s">
        <v>232</v>
      </c>
      <c r="D25" s="35" t="s">
        <v>919</v>
      </c>
      <c r="E25" s="35">
        <v>35.700000000000003</v>
      </c>
      <c r="F25" s="34">
        <v>43012</v>
      </c>
    </row>
    <row r="26" spans="1:6" ht="15.75" x14ac:dyDescent="0.25">
      <c r="A26" s="35">
        <v>526712</v>
      </c>
      <c r="B26" s="35" t="s">
        <v>14</v>
      </c>
      <c r="C26" s="35" t="s">
        <v>232</v>
      </c>
      <c r="D26" s="35" t="s">
        <v>919</v>
      </c>
      <c r="E26" s="35">
        <v>84</v>
      </c>
      <c r="F26" s="34">
        <v>43012</v>
      </c>
    </row>
    <row r="27" spans="1:6" ht="15.75" x14ac:dyDescent="0.25">
      <c r="A27" s="35">
        <v>487110</v>
      </c>
      <c r="B27" s="35" t="s">
        <v>36</v>
      </c>
      <c r="C27" s="35" t="s">
        <v>920</v>
      </c>
      <c r="D27" s="35" t="s">
        <v>921</v>
      </c>
      <c r="E27" s="35">
        <v>13972.92</v>
      </c>
      <c r="F27" s="34">
        <v>43012</v>
      </c>
    </row>
    <row r="28" spans="1:6" ht="15.75" x14ac:dyDescent="0.25">
      <c r="A28" s="35">
        <v>526712</v>
      </c>
      <c r="B28" s="35" t="s">
        <v>14</v>
      </c>
      <c r="C28" s="35" t="s">
        <v>922</v>
      </c>
      <c r="D28" s="35" t="s">
        <v>923</v>
      </c>
      <c r="E28" s="35">
        <v>58.42</v>
      </c>
      <c r="F28" s="34">
        <v>43019</v>
      </c>
    </row>
    <row r="29" spans="1:6" ht="15.75" x14ac:dyDescent="0.25">
      <c r="A29" s="35">
        <v>558921</v>
      </c>
      <c r="B29" s="35" t="s">
        <v>262</v>
      </c>
      <c r="C29" s="35" t="s">
        <v>924</v>
      </c>
      <c r="D29" s="35" t="s">
        <v>925</v>
      </c>
      <c r="E29" s="35">
        <v>59.28</v>
      </c>
      <c r="F29" s="34">
        <v>43019</v>
      </c>
    </row>
    <row r="30" spans="1:6" ht="15.75" x14ac:dyDescent="0.25">
      <c r="A30" s="35">
        <v>531110</v>
      </c>
      <c r="B30" s="35" t="s">
        <v>27</v>
      </c>
      <c r="C30" s="35" t="s">
        <v>263</v>
      </c>
      <c r="D30" s="35" t="s">
        <v>926</v>
      </c>
      <c r="E30" s="35">
        <v>129.13</v>
      </c>
      <c r="F30" s="34">
        <v>43021</v>
      </c>
    </row>
    <row r="31" spans="1:6" ht="15.75" x14ac:dyDescent="0.25">
      <c r="A31" s="35">
        <v>531110</v>
      </c>
      <c r="B31" s="35" t="s">
        <v>27</v>
      </c>
      <c r="C31" s="35" t="s">
        <v>142</v>
      </c>
      <c r="D31" s="35">
        <v>2000003829</v>
      </c>
      <c r="E31" s="35">
        <v>-31.8</v>
      </c>
      <c r="F31" s="34">
        <v>43024</v>
      </c>
    </row>
    <row r="32" spans="1:6" ht="15.75" x14ac:dyDescent="0.25">
      <c r="A32" s="35">
        <v>526712</v>
      </c>
      <c r="B32" s="35" t="s">
        <v>14</v>
      </c>
      <c r="C32" s="35" t="s">
        <v>927</v>
      </c>
      <c r="D32" s="35" t="s">
        <v>928</v>
      </c>
      <c r="E32" s="35">
        <v>89.24</v>
      </c>
      <c r="F32" s="34">
        <v>43024</v>
      </c>
    </row>
    <row r="33" spans="1:6" ht="15.75" x14ac:dyDescent="0.25">
      <c r="A33" s="35">
        <v>527120</v>
      </c>
      <c r="B33" s="35" t="s">
        <v>143</v>
      </c>
      <c r="C33" s="35" t="s">
        <v>144</v>
      </c>
      <c r="D33" s="35" t="s">
        <v>929</v>
      </c>
      <c r="E33" s="35">
        <v>14.5</v>
      </c>
      <c r="F33" s="34">
        <v>43025</v>
      </c>
    </row>
    <row r="34" spans="1:6" ht="15.75" x14ac:dyDescent="0.25">
      <c r="A34" s="35">
        <v>487110</v>
      </c>
      <c r="B34" s="35" t="s">
        <v>36</v>
      </c>
      <c r="C34" s="35" t="s">
        <v>930</v>
      </c>
      <c r="D34" s="35" t="s">
        <v>931</v>
      </c>
      <c r="E34" s="35">
        <v>18109.13</v>
      </c>
      <c r="F34" s="34">
        <v>43025</v>
      </c>
    </row>
    <row r="35" spans="1:6" ht="15.75" x14ac:dyDescent="0.25">
      <c r="A35" s="35">
        <v>526712</v>
      </c>
      <c r="B35" s="35" t="s">
        <v>14</v>
      </c>
      <c r="C35" s="35" t="s">
        <v>853</v>
      </c>
      <c r="D35" s="35" t="s">
        <v>932</v>
      </c>
      <c r="E35" s="35">
        <v>73.3</v>
      </c>
      <c r="F35" s="34">
        <v>43027</v>
      </c>
    </row>
    <row r="36" spans="1:6" ht="15.75" x14ac:dyDescent="0.25">
      <c r="A36" s="35">
        <v>526712</v>
      </c>
      <c r="B36" s="35" t="s">
        <v>14</v>
      </c>
      <c r="C36" s="35" t="s">
        <v>386</v>
      </c>
      <c r="D36" s="35" t="s">
        <v>933</v>
      </c>
      <c r="E36" s="35">
        <v>88.38</v>
      </c>
      <c r="F36" s="34">
        <v>43027</v>
      </c>
    </row>
    <row r="37" spans="1:6" ht="15.75" x14ac:dyDescent="0.25">
      <c r="A37" s="35">
        <v>526712</v>
      </c>
      <c r="B37" s="35" t="s">
        <v>14</v>
      </c>
      <c r="C37" s="35" t="s">
        <v>934</v>
      </c>
      <c r="D37" s="35" t="s">
        <v>935</v>
      </c>
      <c r="E37" s="35">
        <v>91.38</v>
      </c>
      <c r="F37" s="34">
        <v>43027</v>
      </c>
    </row>
    <row r="38" spans="1:6" ht="15.75" x14ac:dyDescent="0.25">
      <c r="A38" s="35">
        <v>526712</v>
      </c>
      <c r="B38" s="35" t="s">
        <v>14</v>
      </c>
      <c r="C38" s="35" t="s">
        <v>771</v>
      </c>
      <c r="D38" s="35" t="s">
        <v>936</v>
      </c>
      <c r="E38" s="35">
        <v>91.38</v>
      </c>
      <c r="F38" s="34">
        <v>43027</v>
      </c>
    </row>
    <row r="39" spans="1:6" ht="15.75" x14ac:dyDescent="0.25">
      <c r="A39" s="35">
        <v>526712</v>
      </c>
      <c r="B39" s="35" t="s">
        <v>14</v>
      </c>
      <c r="C39" s="35" t="s">
        <v>937</v>
      </c>
      <c r="D39" s="35" t="s">
        <v>938</v>
      </c>
      <c r="E39" s="35">
        <v>113.12</v>
      </c>
      <c r="F39" s="34">
        <v>43027</v>
      </c>
    </row>
    <row r="40" spans="1:6" ht="15.75" x14ac:dyDescent="0.25">
      <c r="A40" s="35">
        <v>526712</v>
      </c>
      <c r="B40" s="35" t="s">
        <v>14</v>
      </c>
      <c r="C40" s="35" t="s">
        <v>232</v>
      </c>
      <c r="D40" s="35" t="s">
        <v>939</v>
      </c>
      <c r="E40" s="35">
        <v>113.12</v>
      </c>
      <c r="F40" s="34">
        <v>43027</v>
      </c>
    </row>
    <row r="41" spans="1:6" ht="15.75" x14ac:dyDescent="0.25">
      <c r="A41" s="35">
        <v>526712</v>
      </c>
      <c r="B41" s="35" t="s">
        <v>14</v>
      </c>
      <c r="C41" s="35" t="s">
        <v>922</v>
      </c>
      <c r="D41" s="35" t="s">
        <v>940</v>
      </c>
      <c r="E41" s="35">
        <v>118.22</v>
      </c>
      <c r="F41" s="34">
        <v>43027</v>
      </c>
    </row>
    <row r="42" spans="1:6" ht="15.75" x14ac:dyDescent="0.25">
      <c r="A42" s="35">
        <v>526712</v>
      </c>
      <c r="B42" s="35" t="s">
        <v>14</v>
      </c>
      <c r="C42" s="35" t="s">
        <v>323</v>
      </c>
      <c r="D42" s="35" t="s">
        <v>941</v>
      </c>
      <c r="E42" s="35">
        <v>118.22</v>
      </c>
      <c r="F42" s="34">
        <v>43027</v>
      </c>
    </row>
    <row r="43" spans="1:6" ht="15.75" x14ac:dyDescent="0.25">
      <c r="A43" s="35">
        <v>526712</v>
      </c>
      <c r="B43" s="35" t="s">
        <v>14</v>
      </c>
      <c r="C43" s="35" t="s">
        <v>942</v>
      </c>
      <c r="D43" s="35" t="s">
        <v>943</v>
      </c>
      <c r="E43" s="35">
        <v>126.38</v>
      </c>
      <c r="F43" s="34">
        <v>43027</v>
      </c>
    </row>
    <row r="44" spans="1:6" ht="15.75" x14ac:dyDescent="0.25">
      <c r="A44" s="35">
        <v>526712</v>
      </c>
      <c r="B44" s="35" t="s">
        <v>14</v>
      </c>
      <c r="C44" s="35" t="s">
        <v>783</v>
      </c>
      <c r="D44" s="35" t="s">
        <v>944</v>
      </c>
      <c r="E44" s="35">
        <v>126.38</v>
      </c>
      <c r="F44" s="34">
        <v>43027</v>
      </c>
    </row>
    <row r="45" spans="1:6" ht="15.75" x14ac:dyDescent="0.25">
      <c r="A45" s="35">
        <v>558979</v>
      </c>
      <c r="B45" s="35" t="s">
        <v>150</v>
      </c>
      <c r="C45" s="35" t="s">
        <v>945</v>
      </c>
      <c r="D45" s="35" t="s">
        <v>946</v>
      </c>
      <c r="E45" s="35">
        <v>125</v>
      </c>
      <c r="F45" s="34">
        <v>43028</v>
      </c>
    </row>
    <row r="46" spans="1:6" ht="15.75" x14ac:dyDescent="0.25">
      <c r="A46" s="35">
        <v>558979</v>
      </c>
      <c r="B46" s="35" t="s">
        <v>150</v>
      </c>
      <c r="C46" s="35" t="s">
        <v>947</v>
      </c>
      <c r="D46" s="35" t="s">
        <v>948</v>
      </c>
      <c r="E46" s="35">
        <v>125</v>
      </c>
      <c r="F46" s="34">
        <v>43028</v>
      </c>
    </row>
    <row r="47" spans="1:6" ht="15.75" x14ac:dyDescent="0.25">
      <c r="A47" s="35">
        <v>558979</v>
      </c>
      <c r="B47" s="35" t="s">
        <v>150</v>
      </c>
      <c r="C47" s="35" t="s">
        <v>949</v>
      </c>
      <c r="D47" s="35" t="s">
        <v>950</v>
      </c>
      <c r="E47" s="35">
        <v>125</v>
      </c>
      <c r="F47" s="34">
        <v>43028</v>
      </c>
    </row>
    <row r="48" spans="1:6" ht="15.75" x14ac:dyDescent="0.25">
      <c r="A48" s="35">
        <v>558979</v>
      </c>
      <c r="B48" s="35" t="s">
        <v>150</v>
      </c>
      <c r="C48" s="35" t="s">
        <v>942</v>
      </c>
      <c r="D48" s="35" t="s">
        <v>951</v>
      </c>
      <c r="E48" s="35">
        <v>125</v>
      </c>
      <c r="F48" s="34">
        <v>43028</v>
      </c>
    </row>
    <row r="49" spans="1:6" ht="15.75" x14ac:dyDescent="0.25">
      <c r="A49" s="35">
        <v>558979</v>
      </c>
      <c r="B49" s="35" t="s">
        <v>150</v>
      </c>
      <c r="C49" s="35" t="s">
        <v>952</v>
      </c>
      <c r="D49" s="35" t="s">
        <v>953</v>
      </c>
      <c r="E49" s="35">
        <v>125</v>
      </c>
      <c r="F49" s="34">
        <v>43028</v>
      </c>
    </row>
    <row r="50" spans="1:6" ht="15.75" x14ac:dyDescent="0.25">
      <c r="A50" s="35">
        <v>558979</v>
      </c>
      <c r="B50" s="35" t="s">
        <v>150</v>
      </c>
      <c r="C50" s="35" t="s">
        <v>954</v>
      </c>
      <c r="D50" s="35" t="s">
        <v>955</v>
      </c>
      <c r="E50" s="35">
        <v>125</v>
      </c>
      <c r="F50" s="34">
        <v>43028</v>
      </c>
    </row>
    <row r="51" spans="1:6" ht="15.75" x14ac:dyDescent="0.25">
      <c r="A51" s="35">
        <v>558979</v>
      </c>
      <c r="B51" s="35" t="s">
        <v>150</v>
      </c>
      <c r="C51" s="35" t="s">
        <v>956</v>
      </c>
      <c r="D51" s="35" t="s">
        <v>957</v>
      </c>
      <c r="E51" s="35">
        <v>125</v>
      </c>
      <c r="F51" s="34">
        <v>43028</v>
      </c>
    </row>
    <row r="52" spans="1:6" ht="15.75" x14ac:dyDescent="0.25">
      <c r="A52" s="35">
        <v>558979</v>
      </c>
      <c r="B52" s="35" t="s">
        <v>150</v>
      </c>
      <c r="C52" s="35" t="s">
        <v>311</v>
      </c>
      <c r="D52" s="35" t="s">
        <v>958</v>
      </c>
      <c r="E52" s="35">
        <v>125</v>
      </c>
      <c r="F52" s="34">
        <v>43028</v>
      </c>
    </row>
    <row r="53" spans="1:6" ht="15.75" x14ac:dyDescent="0.25">
      <c r="A53" s="35">
        <v>558979</v>
      </c>
      <c r="B53" s="35" t="s">
        <v>150</v>
      </c>
      <c r="C53" s="35" t="s">
        <v>309</v>
      </c>
      <c r="D53" s="35" t="s">
        <v>959</v>
      </c>
      <c r="E53" s="35">
        <v>125</v>
      </c>
      <c r="F53" s="34">
        <v>43028</v>
      </c>
    </row>
    <row r="54" spans="1:6" ht="15.75" x14ac:dyDescent="0.25">
      <c r="A54" s="35">
        <v>558979</v>
      </c>
      <c r="B54" s="35" t="s">
        <v>150</v>
      </c>
      <c r="C54" s="35" t="s">
        <v>323</v>
      </c>
      <c r="D54" s="35" t="s">
        <v>960</v>
      </c>
      <c r="E54" s="35">
        <v>125</v>
      </c>
      <c r="F54" s="34">
        <v>43028</v>
      </c>
    </row>
    <row r="55" spans="1:6" ht="15.75" x14ac:dyDescent="0.25">
      <c r="A55" s="35">
        <v>558979</v>
      </c>
      <c r="B55" s="35" t="s">
        <v>150</v>
      </c>
      <c r="C55" s="35" t="s">
        <v>961</v>
      </c>
      <c r="D55" s="35" t="s">
        <v>962</v>
      </c>
      <c r="E55" s="35">
        <v>125</v>
      </c>
      <c r="F55" s="34">
        <v>43028</v>
      </c>
    </row>
    <row r="56" spans="1:6" ht="15.75" x14ac:dyDescent="0.25">
      <c r="A56" s="35">
        <v>558979</v>
      </c>
      <c r="B56" s="35" t="s">
        <v>150</v>
      </c>
      <c r="C56" s="35" t="s">
        <v>853</v>
      </c>
      <c r="D56" s="35" t="s">
        <v>963</v>
      </c>
      <c r="E56" s="35">
        <v>200</v>
      </c>
      <c r="F56" s="34">
        <v>43028</v>
      </c>
    </row>
    <row r="57" spans="1:6" ht="15.75" x14ac:dyDescent="0.25">
      <c r="A57" s="35">
        <v>558979</v>
      </c>
      <c r="B57" s="35" t="s">
        <v>150</v>
      </c>
      <c r="C57" s="35" t="s">
        <v>781</v>
      </c>
      <c r="D57" s="35" t="s">
        <v>964</v>
      </c>
      <c r="E57" s="35">
        <v>200</v>
      </c>
      <c r="F57" s="34">
        <v>43028</v>
      </c>
    </row>
    <row r="58" spans="1:6" ht="15.75" x14ac:dyDescent="0.25">
      <c r="A58" s="35">
        <v>558979</v>
      </c>
      <c r="B58" s="35" t="s">
        <v>150</v>
      </c>
      <c r="C58" s="35" t="s">
        <v>783</v>
      </c>
      <c r="D58" s="35" t="s">
        <v>965</v>
      </c>
      <c r="E58" s="35">
        <v>200</v>
      </c>
      <c r="F58" s="34">
        <v>43028</v>
      </c>
    </row>
    <row r="59" spans="1:6" ht="15.75" x14ac:dyDescent="0.25">
      <c r="A59" s="35">
        <v>558979</v>
      </c>
      <c r="B59" s="35" t="s">
        <v>150</v>
      </c>
      <c r="C59" s="35" t="s">
        <v>767</v>
      </c>
      <c r="D59" s="35" t="s">
        <v>966</v>
      </c>
      <c r="E59" s="35">
        <v>200</v>
      </c>
      <c r="F59" s="34">
        <v>43028</v>
      </c>
    </row>
    <row r="60" spans="1:6" ht="15.75" x14ac:dyDescent="0.25">
      <c r="A60" s="35">
        <v>558979</v>
      </c>
      <c r="B60" s="35" t="s">
        <v>150</v>
      </c>
      <c r="C60" s="35" t="s">
        <v>787</v>
      </c>
      <c r="D60" s="35" t="s">
        <v>967</v>
      </c>
      <c r="E60" s="35">
        <v>225</v>
      </c>
      <c r="F60" s="34">
        <v>43028</v>
      </c>
    </row>
    <row r="61" spans="1:6" ht="15.75" x14ac:dyDescent="0.25">
      <c r="A61" s="35">
        <v>558979</v>
      </c>
      <c r="B61" s="35" t="s">
        <v>150</v>
      </c>
      <c r="C61" s="35" t="s">
        <v>342</v>
      </c>
      <c r="D61" s="35" t="s">
        <v>968</v>
      </c>
      <c r="E61" s="35">
        <v>400</v>
      </c>
      <c r="F61" s="34">
        <v>43028</v>
      </c>
    </row>
    <row r="62" spans="1:6" ht="15.75" x14ac:dyDescent="0.25">
      <c r="A62" s="35">
        <v>558979</v>
      </c>
      <c r="B62" s="35" t="s">
        <v>150</v>
      </c>
      <c r="C62" s="35" t="s">
        <v>232</v>
      </c>
      <c r="D62" s="35" t="s">
        <v>969</v>
      </c>
      <c r="E62" s="35">
        <v>650</v>
      </c>
      <c r="F62" s="34">
        <v>43028</v>
      </c>
    </row>
    <row r="63" spans="1:6" ht="15.75" x14ac:dyDescent="0.25">
      <c r="A63" s="35">
        <v>526712</v>
      </c>
      <c r="B63" s="35" t="s">
        <v>14</v>
      </c>
      <c r="C63" s="35" t="s">
        <v>309</v>
      </c>
      <c r="D63" s="35" t="s">
        <v>970</v>
      </c>
      <c r="E63" s="35">
        <v>119.58</v>
      </c>
      <c r="F63" s="34">
        <v>43031</v>
      </c>
    </row>
    <row r="64" spans="1:6" ht="15.75" x14ac:dyDescent="0.25">
      <c r="A64" s="35">
        <v>526120</v>
      </c>
      <c r="B64" s="35" t="s">
        <v>217</v>
      </c>
      <c r="C64" s="35" t="s">
        <v>178</v>
      </c>
      <c r="D64" s="35" t="s">
        <v>971</v>
      </c>
      <c r="E64" s="35">
        <v>119.59</v>
      </c>
      <c r="F64" s="34">
        <v>43031</v>
      </c>
    </row>
    <row r="65" spans="1:6" ht="15.75" x14ac:dyDescent="0.25">
      <c r="A65" s="35">
        <v>526712</v>
      </c>
      <c r="B65" s="35" t="s">
        <v>14</v>
      </c>
      <c r="C65" s="35" t="s">
        <v>767</v>
      </c>
      <c r="D65" s="35" t="s">
        <v>972</v>
      </c>
      <c r="E65" s="35">
        <v>122.98</v>
      </c>
      <c r="F65" s="34">
        <v>43031</v>
      </c>
    </row>
    <row r="66" spans="1:6" ht="15.75" x14ac:dyDescent="0.25">
      <c r="A66" s="35">
        <v>526712</v>
      </c>
      <c r="B66" s="35" t="s">
        <v>14</v>
      </c>
      <c r="C66" s="35" t="s">
        <v>313</v>
      </c>
      <c r="D66" s="35" t="s">
        <v>973</v>
      </c>
      <c r="E66" s="35">
        <v>131.82</v>
      </c>
      <c r="F66" s="34">
        <v>43031</v>
      </c>
    </row>
    <row r="67" spans="1:6" ht="15.75" x14ac:dyDescent="0.25">
      <c r="A67" s="35">
        <v>526712</v>
      </c>
      <c r="B67" s="35" t="s">
        <v>14</v>
      </c>
      <c r="C67" s="35" t="s">
        <v>785</v>
      </c>
      <c r="D67" s="35" t="s">
        <v>974</v>
      </c>
      <c r="E67" s="35">
        <v>142.02000000000001</v>
      </c>
      <c r="F67" s="34">
        <v>43031</v>
      </c>
    </row>
    <row r="68" spans="1:6" ht="15.75" x14ac:dyDescent="0.25">
      <c r="A68" s="35">
        <v>526712</v>
      </c>
      <c r="B68" s="35" t="s">
        <v>14</v>
      </c>
      <c r="C68" s="35" t="s">
        <v>975</v>
      </c>
      <c r="D68" s="35" t="s">
        <v>976</v>
      </c>
      <c r="E68" s="35">
        <v>154.94</v>
      </c>
      <c r="F68" s="34">
        <v>43031</v>
      </c>
    </row>
    <row r="69" spans="1:6" ht="15.75" x14ac:dyDescent="0.25">
      <c r="A69" s="35">
        <v>487110</v>
      </c>
      <c r="B69" s="35" t="s">
        <v>36</v>
      </c>
      <c r="C69" s="35" t="s">
        <v>977</v>
      </c>
      <c r="D69" s="35" t="s">
        <v>978</v>
      </c>
      <c r="E69" s="35">
        <v>441.04</v>
      </c>
      <c r="F69" s="34">
        <v>43034</v>
      </c>
    </row>
    <row r="70" spans="1:6" ht="15.75" x14ac:dyDescent="0.25">
      <c r="A70" s="35">
        <v>487110</v>
      </c>
      <c r="B70" s="35" t="s">
        <v>36</v>
      </c>
      <c r="C70" s="35" t="s">
        <v>979</v>
      </c>
      <c r="D70" s="35" t="s">
        <v>978</v>
      </c>
      <c r="E70" s="35">
        <v>2390.52</v>
      </c>
      <c r="F70" s="34">
        <v>43034</v>
      </c>
    </row>
    <row r="71" spans="1:6" ht="15.75" x14ac:dyDescent="0.25">
      <c r="A71" s="35">
        <v>515130</v>
      </c>
      <c r="B71" s="35" t="s">
        <v>10</v>
      </c>
      <c r="C71" s="35" t="s">
        <v>165</v>
      </c>
      <c r="D71" s="35" t="s">
        <v>980</v>
      </c>
      <c r="E71" s="35">
        <v>97.26</v>
      </c>
      <c r="F71" s="34">
        <v>43039</v>
      </c>
    </row>
    <row r="72" spans="1:6" ht="15.75" x14ac:dyDescent="0.25">
      <c r="A72" s="35">
        <v>515530</v>
      </c>
      <c r="B72" s="35" t="s">
        <v>13</v>
      </c>
      <c r="C72" s="35" t="s">
        <v>165</v>
      </c>
      <c r="D72" s="35" t="s">
        <v>980</v>
      </c>
      <c r="E72" s="35">
        <v>399.57</v>
      </c>
      <c r="F72" s="34">
        <v>43039</v>
      </c>
    </row>
    <row r="73" spans="1:6" ht="15.75" x14ac:dyDescent="0.25">
      <c r="A73" s="35">
        <v>515120</v>
      </c>
      <c r="B73" s="35" t="s">
        <v>9</v>
      </c>
      <c r="C73" s="35" t="s">
        <v>165</v>
      </c>
      <c r="D73" s="35" t="s">
        <v>980</v>
      </c>
      <c r="E73" s="35">
        <v>415.83</v>
      </c>
      <c r="F73" s="34">
        <v>43039</v>
      </c>
    </row>
    <row r="74" spans="1:6" ht="15.75" x14ac:dyDescent="0.25">
      <c r="A74" s="35">
        <v>515420</v>
      </c>
      <c r="B74" s="35" t="s">
        <v>12</v>
      </c>
      <c r="C74" s="35" t="s">
        <v>165</v>
      </c>
      <c r="D74" s="35" t="s">
        <v>980</v>
      </c>
      <c r="E74" s="35">
        <v>428.14</v>
      </c>
      <c r="F74" s="34">
        <v>43039</v>
      </c>
    </row>
    <row r="75" spans="1:6" ht="15.75" x14ac:dyDescent="0.25">
      <c r="A75" s="35">
        <v>515410</v>
      </c>
      <c r="B75" s="35" t="s">
        <v>11</v>
      </c>
      <c r="C75" s="35" t="s">
        <v>165</v>
      </c>
      <c r="D75" s="35" t="s">
        <v>980</v>
      </c>
      <c r="E75" s="35">
        <v>473.1</v>
      </c>
      <c r="F75" s="34">
        <v>43039</v>
      </c>
    </row>
    <row r="76" spans="1:6" ht="15.75" x14ac:dyDescent="0.25">
      <c r="A76" s="35">
        <v>511120</v>
      </c>
      <c r="B76" s="35" t="s">
        <v>6</v>
      </c>
      <c r="C76" s="35" t="s">
        <v>165</v>
      </c>
      <c r="D76" s="35" t="s">
        <v>980</v>
      </c>
      <c r="E76" s="35">
        <v>6916.64</v>
      </c>
      <c r="F76" s="34">
        <v>43039</v>
      </c>
    </row>
  </sheetData>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800E9-E6D6-4DCD-A580-9889CF70688A}">
  <dimension ref="A1:F39"/>
  <sheetViews>
    <sheetView workbookViewId="0">
      <selection activeCell="D25" sqref="D25"/>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558979</v>
      </c>
      <c r="B2" s="35" t="s">
        <v>150</v>
      </c>
      <c r="C2" s="35" t="s">
        <v>853</v>
      </c>
      <c r="D2" s="35" t="s">
        <v>878</v>
      </c>
      <c r="E2" s="35">
        <v>200</v>
      </c>
      <c r="F2" s="34">
        <v>42996</v>
      </c>
    </row>
    <row r="3" spans="1:6" ht="15.75" x14ac:dyDescent="0.25">
      <c r="A3" s="35">
        <v>558979</v>
      </c>
      <c r="B3" s="35" t="s">
        <v>150</v>
      </c>
      <c r="C3" s="35" t="s">
        <v>781</v>
      </c>
      <c r="D3" s="35" t="s">
        <v>879</v>
      </c>
      <c r="E3" s="35">
        <v>200</v>
      </c>
      <c r="F3" s="34">
        <v>42996</v>
      </c>
    </row>
    <row r="4" spans="1:6" ht="15.75" x14ac:dyDescent="0.25">
      <c r="A4" s="35">
        <v>558979</v>
      </c>
      <c r="B4" s="35" t="s">
        <v>150</v>
      </c>
      <c r="C4" s="35" t="s">
        <v>783</v>
      </c>
      <c r="D4" s="35" t="s">
        <v>880</v>
      </c>
      <c r="E4" s="35">
        <v>200</v>
      </c>
      <c r="F4" s="34">
        <v>42996</v>
      </c>
    </row>
    <row r="5" spans="1:6" ht="15.75" x14ac:dyDescent="0.25">
      <c r="A5" s="35">
        <v>558979</v>
      </c>
      <c r="B5" s="35" t="s">
        <v>150</v>
      </c>
      <c r="C5" s="35" t="s">
        <v>767</v>
      </c>
      <c r="D5" s="35" t="s">
        <v>881</v>
      </c>
      <c r="E5" s="35">
        <v>200</v>
      </c>
      <c r="F5" s="34">
        <v>42996</v>
      </c>
    </row>
    <row r="6" spans="1:6" ht="15.75" x14ac:dyDescent="0.25">
      <c r="A6" s="35">
        <v>558979</v>
      </c>
      <c r="B6" s="35" t="s">
        <v>150</v>
      </c>
      <c r="C6" s="35" t="s">
        <v>787</v>
      </c>
      <c r="D6" s="35" t="s">
        <v>882</v>
      </c>
      <c r="E6" s="35">
        <v>225</v>
      </c>
      <c r="F6" s="34">
        <v>42996</v>
      </c>
    </row>
    <row r="7" spans="1:6" ht="15.75" x14ac:dyDescent="0.25">
      <c r="A7" s="35">
        <v>558979</v>
      </c>
      <c r="B7" s="35" t="s">
        <v>150</v>
      </c>
      <c r="C7" s="35" t="s">
        <v>342</v>
      </c>
      <c r="D7" s="35" t="s">
        <v>883</v>
      </c>
      <c r="E7" s="35">
        <v>400</v>
      </c>
      <c r="F7" s="34">
        <v>42996</v>
      </c>
    </row>
    <row r="8" spans="1:6" ht="15.75" x14ac:dyDescent="0.25">
      <c r="A8" s="35">
        <v>558979</v>
      </c>
      <c r="B8" s="35" t="s">
        <v>150</v>
      </c>
      <c r="C8" s="35" t="s">
        <v>232</v>
      </c>
      <c r="D8" s="35" t="s">
        <v>884</v>
      </c>
      <c r="E8" s="35">
        <v>650</v>
      </c>
      <c r="F8" s="34">
        <v>42996</v>
      </c>
    </row>
    <row r="9" spans="1:6" ht="15.75" x14ac:dyDescent="0.25">
      <c r="A9" s="35">
        <v>487110</v>
      </c>
      <c r="B9" s="35" t="s">
        <v>36</v>
      </c>
      <c r="C9" s="35" t="s">
        <v>885</v>
      </c>
      <c r="D9" s="35" t="s">
        <v>886</v>
      </c>
      <c r="E9" s="35">
        <v>2748.61</v>
      </c>
      <c r="F9" s="34">
        <v>42996</v>
      </c>
    </row>
    <row r="10" spans="1:6" ht="15.75" x14ac:dyDescent="0.25">
      <c r="A10" s="35">
        <v>531110</v>
      </c>
      <c r="B10" s="35" t="s">
        <v>27</v>
      </c>
      <c r="C10" s="35" t="s">
        <v>142</v>
      </c>
      <c r="D10" s="35">
        <v>2000003490</v>
      </c>
      <c r="E10" s="35">
        <v>0</v>
      </c>
      <c r="F10" s="34">
        <v>42998</v>
      </c>
    </row>
    <row r="11" spans="1:6" ht="15.75" x14ac:dyDescent="0.25">
      <c r="A11" s="35">
        <v>531110</v>
      </c>
      <c r="B11" s="35" t="s">
        <v>27</v>
      </c>
      <c r="C11" s="35" t="s">
        <v>142</v>
      </c>
      <c r="D11" s="35">
        <v>2000003490</v>
      </c>
      <c r="E11" s="35">
        <v>23.92</v>
      </c>
      <c r="F11" s="34">
        <v>42998</v>
      </c>
    </row>
    <row r="12" spans="1:6" ht="15.75" x14ac:dyDescent="0.25">
      <c r="A12" s="35">
        <v>487110</v>
      </c>
      <c r="B12" s="35" t="s">
        <v>36</v>
      </c>
      <c r="C12" s="35" t="s">
        <v>887</v>
      </c>
      <c r="D12" s="35" t="s">
        <v>888</v>
      </c>
      <c r="E12" s="35">
        <v>6265.33</v>
      </c>
      <c r="F12" s="34">
        <v>42998</v>
      </c>
    </row>
    <row r="13" spans="1:6" ht="15.75" x14ac:dyDescent="0.25">
      <c r="A13" s="35">
        <v>531110</v>
      </c>
      <c r="B13" s="35" t="s">
        <v>27</v>
      </c>
      <c r="C13" s="35"/>
      <c r="D13" s="35">
        <v>1000003977</v>
      </c>
      <c r="E13" s="35">
        <v>0</v>
      </c>
      <c r="F13" s="34">
        <v>42999</v>
      </c>
    </row>
    <row r="14" spans="1:6" ht="15.75" x14ac:dyDescent="0.25">
      <c r="A14" s="35">
        <v>531110</v>
      </c>
      <c r="B14" s="35" t="s">
        <v>27</v>
      </c>
      <c r="C14" s="35"/>
      <c r="D14" s="35">
        <v>1000003977</v>
      </c>
      <c r="E14" s="35">
        <v>23.92</v>
      </c>
      <c r="F14" s="34">
        <v>42999</v>
      </c>
    </row>
    <row r="15" spans="1:6" ht="15.75" x14ac:dyDescent="0.25">
      <c r="A15" s="35">
        <v>526712</v>
      </c>
      <c r="B15" s="35" t="s">
        <v>14</v>
      </c>
      <c r="C15" s="35" t="s">
        <v>853</v>
      </c>
      <c r="D15" s="35" t="s">
        <v>889</v>
      </c>
      <c r="E15" s="35">
        <v>29.22</v>
      </c>
      <c r="F15" s="34">
        <v>42999</v>
      </c>
    </row>
    <row r="16" spans="1:6" ht="15.75" x14ac:dyDescent="0.25">
      <c r="A16" s="35">
        <v>526712</v>
      </c>
      <c r="B16" s="35" t="s">
        <v>14</v>
      </c>
      <c r="C16" s="35" t="s">
        <v>767</v>
      </c>
      <c r="D16" s="35" t="s">
        <v>890</v>
      </c>
      <c r="E16" s="35">
        <v>73.62</v>
      </c>
      <c r="F16" s="34">
        <v>42999</v>
      </c>
    </row>
    <row r="17" spans="1:6" ht="15.75" x14ac:dyDescent="0.25">
      <c r="A17" s="35">
        <v>526712</v>
      </c>
      <c r="B17" s="35" t="s">
        <v>14</v>
      </c>
      <c r="C17" s="35" t="s">
        <v>783</v>
      </c>
      <c r="D17" s="35" t="s">
        <v>891</v>
      </c>
      <c r="E17" s="35">
        <v>85.38</v>
      </c>
      <c r="F17" s="34">
        <v>42999</v>
      </c>
    </row>
    <row r="18" spans="1:6" ht="15.75" x14ac:dyDescent="0.25">
      <c r="A18" s="35">
        <v>526712</v>
      </c>
      <c r="B18" s="35" t="s">
        <v>14</v>
      </c>
      <c r="C18" s="35" t="s">
        <v>781</v>
      </c>
      <c r="D18" s="35" t="s">
        <v>892</v>
      </c>
      <c r="E18" s="35">
        <v>89.34</v>
      </c>
      <c r="F18" s="34">
        <v>42999</v>
      </c>
    </row>
    <row r="19" spans="1:6" ht="15.75" x14ac:dyDescent="0.25">
      <c r="A19" s="35">
        <v>526712</v>
      </c>
      <c r="B19" s="35" t="s">
        <v>14</v>
      </c>
      <c r="C19" s="35" t="s">
        <v>232</v>
      </c>
      <c r="D19" s="35" t="s">
        <v>893</v>
      </c>
      <c r="E19" s="35">
        <v>111.08</v>
      </c>
      <c r="F19" s="34">
        <v>42999</v>
      </c>
    </row>
    <row r="20" spans="1:6" ht="15.75" x14ac:dyDescent="0.25">
      <c r="A20" s="35">
        <v>526712</v>
      </c>
      <c r="B20" s="35" t="s">
        <v>14</v>
      </c>
      <c r="C20" s="35" t="s">
        <v>311</v>
      </c>
      <c r="D20" s="35" t="s">
        <v>894</v>
      </c>
      <c r="E20" s="35">
        <v>115.84</v>
      </c>
      <c r="F20" s="34">
        <v>42999</v>
      </c>
    </row>
    <row r="21" spans="1:6" ht="15.75" x14ac:dyDescent="0.25">
      <c r="A21" s="35">
        <v>526712</v>
      </c>
      <c r="B21" s="35" t="s">
        <v>14</v>
      </c>
      <c r="C21" s="35" t="s">
        <v>773</v>
      </c>
      <c r="D21" s="35" t="s">
        <v>895</v>
      </c>
      <c r="E21" s="35">
        <v>128.41999999999999</v>
      </c>
      <c r="F21" s="34">
        <v>42999</v>
      </c>
    </row>
    <row r="22" spans="1:6" ht="15.75" x14ac:dyDescent="0.25">
      <c r="A22" s="35">
        <v>526712</v>
      </c>
      <c r="B22" s="35" t="s">
        <v>14</v>
      </c>
      <c r="C22" s="35" t="s">
        <v>785</v>
      </c>
      <c r="D22" s="35" t="s">
        <v>896</v>
      </c>
      <c r="E22" s="35">
        <v>143.38</v>
      </c>
      <c r="F22" s="34">
        <v>42999</v>
      </c>
    </row>
    <row r="23" spans="1:6" ht="15.75" x14ac:dyDescent="0.25">
      <c r="A23" s="35">
        <v>526712</v>
      </c>
      <c r="B23" s="35" t="s">
        <v>14</v>
      </c>
      <c r="C23" s="35" t="s">
        <v>313</v>
      </c>
      <c r="D23" s="35" t="s">
        <v>897</v>
      </c>
      <c r="E23" s="35">
        <v>147.80000000000001</v>
      </c>
      <c r="F23" s="34">
        <v>42999</v>
      </c>
    </row>
    <row r="24" spans="1:6" ht="15.75" x14ac:dyDescent="0.25">
      <c r="A24" s="35">
        <v>531220</v>
      </c>
      <c r="B24" s="35" t="s">
        <v>842</v>
      </c>
      <c r="C24" s="35" t="s">
        <v>843</v>
      </c>
      <c r="D24" s="35">
        <v>2000003572</v>
      </c>
      <c r="E24" s="35">
        <v>0</v>
      </c>
      <c r="F24" s="34">
        <v>43003</v>
      </c>
    </row>
    <row r="25" spans="1:6" ht="15.75" x14ac:dyDescent="0.25">
      <c r="A25" s="35">
        <v>531220</v>
      </c>
      <c r="B25" s="35" t="s">
        <v>842</v>
      </c>
      <c r="C25" s="35" t="s">
        <v>843</v>
      </c>
      <c r="D25" s="35">
        <v>2000003572</v>
      </c>
      <c r="E25" s="35">
        <v>299</v>
      </c>
      <c r="F25" s="34">
        <v>43003</v>
      </c>
    </row>
    <row r="26" spans="1:6" ht="15.75" x14ac:dyDescent="0.25">
      <c r="A26" s="35">
        <v>487110</v>
      </c>
      <c r="B26" s="35" t="s">
        <v>36</v>
      </c>
      <c r="C26" s="35" t="s">
        <v>898</v>
      </c>
      <c r="D26" s="35" t="s">
        <v>899</v>
      </c>
      <c r="E26" s="35">
        <v>8651.56</v>
      </c>
      <c r="F26" s="34">
        <v>43003</v>
      </c>
    </row>
    <row r="27" spans="1:6" ht="15.75" x14ac:dyDescent="0.25">
      <c r="A27" s="35">
        <v>531220</v>
      </c>
      <c r="B27" s="35" t="s">
        <v>842</v>
      </c>
      <c r="C27" s="35"/>
      <c r="D27" s="35">
        <v>1000004061</v>
      </c>
      <c r="E27" s="35">
        <v>0</v>
      </c>
      <c r="F27" s="34">
        <v>43004</v>
      </c>
    </row>
    <row r="28" spans="1:6" ht="15.75" x14ac:dyDescent="0.25">
      <c r="A28" s="35">
        <v>526150</v>
      </c>
      <c r="B28" s="35" t="s">
        <v>258</v>
      </c>
      <c r="C28" s="35" t="s">
        <v>178</v>
      </c>
      <c r="D28" s="35" t="s">
        <v>900</v>
      </c>
      <c r="E28" s="35">
        <v>18.899999999999999</v>
      </c>
      <c r="F28" s="34">
        <v>43004</v>
      </c>
    </row>
    <row r="29" spans="1:6" ht="15.75" x14ac:dyDescent="0.25">
      <c r="A29" s="35">
        <v>487110</v>
      </c>
      <c r="B29" s="35" t="s">
        <v>36</v>
      </c>
      <c r="C29" s="35" t="s">
        <v>901</v>
      </c>
      <c r="D29" s="35" t="s">
        <v>902</v>
      </c>
      <c r="E29" s="35">
        <v>57.63</v>
      </c>
      <c r="F29" s="34">
        <v>43004</v>
      </c>
    </row>
    <row r="30" spans="1:6" ht="15.75" x14ac:dyDescent="0.25">
      <c r="A30" s="35">
        <v>526120</v>
      </c>
      <c r="B30" s="35" t="s">
        <v>217</v>
      </c>
      <c r="C30" s="35" t="s">
        <v>178</v>
      </c>
      <c r="D30" s="35" t="s">
        <v>900</v>
      </c>
      <c r="E30" s="35">
        <v>64.2</v>
      </c>
      <c r="F30" s="34">
        <v>43004</v>
      </c>
    </row>
    <row r="31" spans="1:6" ht="15.75" x14ac:dyDescent="0.25">
      <c r="A31" s="35">
        <v>531220</v>
      </c>
      <c r="B31" s="35" t="s">
        <v>842</v>
      </c>
      <c r="C31" s="35"/>
      <c r="D31" s="35">
        <v>1000004061</v>
      </c>
      <c r="E31" s="35">
        <v>299</v>
      </c>
      <c r="F31" s="34">
        <v>43004</v>
      </c>
    </row>
    <row r="32" spans="1:6" ht="15.75" x14ac:dyDescent="0.25">
      <c r="A32" s="35">
        <v>515130</v>
      </c>
      <c r="B32" s="35" t="s">
        <v>10</v>
      </c>
      <c r="C32" s="35" t="s">
        <v>165</v>
      </c>
      <c r="D32" s="35" t="s">
        <v>903</v>
      </c>
      <c r="E32" s="35">
        <v>97.25</v>
      </c>
      <c r="F32" s="34">
        <v>43007</v>
      </c>
    </row>
    <row r="33" spans="1:6" ht="15.75" x14ac:dyDescent="0.25">
      <c r="A33" s="35">
        <v>515530</v>
      </c>
      <c r="B33" s="35" t="s">
        <v>13</v>
      </c>
      <c r="C33" s="35" t="s">
        <v>165</v>
      </c>
      <c r="D33" s="35" t="s">
        <v>903</v>
      </c>
      <c r="E33" s="35">
        <v>399.57</v>
      </c>
      <c r="F33" s="34">
        <v>43007</v>
      </c>
    </row>
    <row r="34" spans="1:6" ht="15.75" x14ac:dyDescent="0.25">
      <c r="A34" s="35">
        <v>515120</v>
      </c>
      <c r="B34" s="35" t="s">
        <v>9</v>
      </c>
      <c r="C34" s="35" t="s">
        <v>165</v>
      </c>
      <c r="D34" s="35" t="s">
        <v>903</v>
      </c>
      <c r="E34" s="35">
        <v>415.82</v>
      </c>
      <c r="F34" s="34">
        <v>43007</v>
      </c>
    </row>
    <row r="35" spans="1:6" ht="15.75" x14ac:dyDescent="0.25">
      <c r="A35" s="35">
        <v>515420</v>
      </c>
      <c r="B35" s="35" t="s">
        <v>12</v>
      </c>
      <c r="C35" s="35" t="s">
        <v>165</v>
      </c>
      <c r="D35" s="35" t="s">
        <v>903</v>
      </c>
      <c r="E35" s="35">
        <v>428.14</v>
      </c>
      <c r="F35" s="34">
        <v>43007</v>
      </c>
    </row>
    <row r="36" spans="1:6" ht="15.75" x14ac:dyDescent="0.25">
      <c r="A36" s="35">
        <v>515410</v>
      </c>
      <c r="B36" s="35" t="s">
        <v>11</v>
      </c>
      <c r="C36" s="35" t="s">
        <v>165</v>
      </c>
      <c r="D36" s="35" t="s">
        <v>903</v>
      </c>
      <c r="E36" s="35">
        <v>473.1</v>
      </c>
      <c r="F36" s="34">
        <v>43007</v>
      </c>
    </row>
    <row r="37" spans="1:6" ht="15.75" x14ac:dyDescent="0.25">
      <c r="A37" s="35">
        <v>511120</v>
      </c>
      <c r="B37" s="35" t="s">
        <v>6</v>
      </c>
      <c r="C37" s="35" t="s">
        <v>165</v>
      </c>
      <c r="D37" s="35" t="s">
        <v>903</v>
      </c>
      <c r="E37" s="35">
        <v>6916.64</v>
      </c>
      <c r="F37" s="34">
        <v>43007</v>
      </c>
    </row>
    <row r="38" spans="1:6" ht="15.75" x14ac:dyDescent="0.25">
      <c r="A38" s="35">
        <v>487110</v>
      </c>
      <c r="B38" s="35" t="s">
        <v>36</v>
      </c>
      <c r="C38" s="35" t="s">
        <v>904</v>
      </c>
      <c r="D38" s="35" t="s">
        <v>905</v>
      </c>
      <c r="E38" s="35">
        <v>12914.93</v>
      </c>
      <c r="F38" s="34">
        <v>43007</v>
      </c>
    </row>
    <row r="39" spans="1:6" ht="15.75" x14ac:dyDescent="0.25">
      <c r="A39" s="35">
        <v>487110</v>
      </c>
      <c r="B39" s="35" t="s">
        <v>36</v>
      </c>
      <c r="C39" s="35" t="s">
        <v>906</v>
      </c>
      <c r="D39" s="35" t="s">
        <v>907</v>
      </c>
      <c r="E39" s="35">
        <v>13223.36</v>
      </c>
      <c r="F39" s="34">
        <v>43007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4AE23-98B8-4864-A9FD-A560B40156C0}">
  <dimension ref="A1:L138"/>
  <sheetViews>
    <sheetView topLeftCell="B1" zoomScale="90" zoomScaleNormal="90" workbookViewId="0">
      <selection activeCell="E24" sqref="E24"/>
    </sheetView>
  </sheetViews>
  <sheetFormatPr defaultRowHeight="15" x14ac:dyDescent="0.25"/>
  <cols>
    <col min="1" max="1" width="3.28515625" style="36" customWidth="1"/>
    <col min="2" max="6" width="40.7109375" style="36" customWidth="1"/>
    <col min="7" max="7" width="3.28515625" style="36" customWidth="1"/>
    <col min="8" max="10" width="9.140625" style="36"/>
    <col min="11" max="12" width="11.5703125" style="36" bestFit="1" customWidth="1"/>
    <col min="13" max="16384" width="9.140625" style="36"/>
  </cols>
  <sheetData>
    <row r="1" spans="1:7" ht="15.75" thickBot="1" x14ac:dyDescent="0.3">
      <c r="A1" s="371" t="b">
        <f>IF(($E$129+$E$130)=(SUM('FY2020 April Transactions'!E:E)),TRUE,FALSE)</f>
        <v>1</v>
      </c>
      <c r="B1" s="372"/>
      <c r="C1" s="372"/>
      <c r="D1" s="372"/>
      <c r="E1" s="372"/>
      <c r="F1" s="372"/>
      <c r="G1" s="373"/>
    </row>
    <row r="2" spans="1:7" ht="26.25" customHeight="1" x14ac:dyDescent="0.25">
      <c r="A2" s="374" t="b">
        <f>IF(($E$129+$E$130)=(SUM('FY2020 April Transactions'!E:E)),TRUE,FALSE)</f>
        <v>1</v>
      </c>
      <c r="B2" s="350" t="s">
        <v>2630</v>
      </c>
      <c r="C2" s="351"/>
      <c r="D2" s="351"/>
      <c r="E2" s="351"/>
      <c r="F2" s="352"/>
      <c r="G2" s="374" t="b">
        <f>IF(($E$129+$E$130)=(SUM('FY2020 April Transactions'!E:E)),TRUE,FALSE)</f>
        <v>1</v>
      </c>
    </row>
    <row r="3" spans="1:7" ht="26.25" customHeight="1" x14ac:dyDescent="0.25">
      <c r="A3" s="374"/>
      <c r="B3" s="353"/>
      <c r="C3" s="354"/>
      <c r="D3" s="354"/>
      <c r="E3" s="354"/>
      <c r="F3" s="355"/>
      <c r="G3" s="374"/>
    </row>
    <row r="4" spans="1:7" ht="15.75" x14ac:dyDescent="0.25">
      <c r="A4" s="374"/>
      <c r="B4" s="331" t="s">
        <v>53</v>
      </c>
      <c r="C4" s="332" t="s">
        <v>54</v>
      </c>
      <c r="D4" s="332" t="s">
        <v>2111</v>
      </c>
      <c r="E4" s="332" t="s">
        <v>168</v>
      </c>
      <c r="F4" s="333" t="s">
        <v>2112</v>
      </c>
      <c r="G4" s="374"/>
    </row>
    <row r="5" spans="1:7" ht="15.75" x14ac:dyDescent="0.25">
      <c r="A5" s="374"/>
      <c r="B5" s="11"/>
      <c r="C5" s="1"/>
      <c r="D5" s="1"/>
      <c r="E5" s="1"/>
      <c r="F5" s="12"/>
      <c r="G5" s="374"/>
    </row>
    <row r="6" spans="1:7" ht="15.75" x14ac:dyDescent="0.25">
      <c r="A6" s="374"/>
      <c r="B6" s="344" t="s">
        <v>1979</v>
      </c>
      <c r="C6" s="345"/>
      <c r="D6" s="345"/>
      <c r="E6" s="345"/>
      <c r="F6" s="346"/>
      <c r="G6" s="374"/>
    </row>
    <row r="7" spans="1:7" ht="15.75" x14ac:dyDescent="0.25">
      <c r="A7" s="374"/>
      <c r="B7" s="11"/>
      <c r="C7" s="1"/>
      <c r="D7" s="1"/>
      <c r="E7" s="1"/>
      <c r="F7" s="12"/>
      <c r="G7" s="374"/>
    </row>
    <row r="8" spans="1:7" x14ac:dyDescent="0.25">
      <c r="A8" s="374"/>
      <c r="B8" s="80" t="s">
        <v>132</v>
      </c>
      <c r="C8" s="81"/>
      <c r="D8" s="81"/>
      <c r="E8" s="81"/>
      <c r="F8" s="82"/>
      <c r="G8" s="374"/>
    </row>
    <row r="9" spans="1:7" ht="15.75" x14ac:dyDescent="0.25">
      <c r="A9" s="374"/>
      <c r="B9" s="11"/>
      <c r="C9" s="1"/>
      <c r="D9" s="1"/>
      <c r="E9" s="1"/>
      <c r="F9" s="12"/>
      <c r="G9" s="374"/>
    </row>
    <row r="10" spans="1:7" x14ac:dyDescent="0.25">
      <c r="A10" s="374"/>
      <c r="B10" s="13" t="s">
        <v>133</v>
      </c>
      <c r="C10" s="2"/>
      <c r="D10" s="2"/>
      <c r="E10" s="2"/>
      <c r="F10" s="14"/>
      <c r="G10" s="374"/>
    </row>
    <row r="11" spans="1:7" ht="15.75" x14ac:dyDescent="0.25">
      <c r="A11" s="374"/>
      <c r="B11" s="11"/>
      <c r="C11" s="3" t="s">
        <v>134</v>
      </c>
      <c r="D11" s="4">
        <f>'FY2020 March Account'!F11</f>
        <v>147434.04</v>
      </c>
      <c r="E11" s="4">
        <f>E131</f>
        <v>64163</v>
      </c>
      <c r="F11" s="15">
        <f>(D11+E11)</f>
        <v>211597.04</v>
      </c>
      <c r="G11" s="374"/>
    </row>
    <row r="12" spans="1:7" x14ac:dyDescent="0.25">
      <c r="A12" s="374"/>
      <c r="B12" s="16" t="s">
        <v>136</v>
      </c>
      <c r="C12" s="2"/>
      <c r="D12" s="5">
        <f>'FY2020 March Account'!F12</f>
        <v>147434.04</v>
      </c>
      <c r="E12" s="5">
        <f>SUM(E11:E11)</f>
        <v>64163</v>
      </c>
      <c r="F12" s="17">
        <f>(D12+E12)</f>
        <v>211597.04</v>
      </c>
      <c r="G12" s="374"/>
    </row>
    <row r="13" spans="1:7" ht="15.75" x14ac:dyDescent="0.25">
      <c r="A13" s="374"/>
      <c r="B13" s="11"/>
      <c r="C13" s="1"/>
      <c r="D13" s="1"/>
      <c r="E13" s="1"/>
      <c r="F13" s="12"/>
      <c r="G13" s="374"/>
    </row>
    <row r="14" spans="1:7" x14ac:dyDescent="0.25">
      <c r="A14" s="374"/>
      <c r="B14" s="13" t="s">
        <v>139</v>
      </c>
      <c r="C14" s="2"/>
      <c r="D14" s="2"/>
      <c r="E14" s="2"/>
      <c r="F14" s="14"/>
      <c r="G14" s="374"/>
    </row>
    <row r="15" spans="1:7" ht="15.75" x14ac:dyDescent="0.25">
      <c r="A15" s="374"/>
      <c r="B15" s="11"/>
      <c r="C15" s="3" t="s">
        <v>135</v>
      </c>
      <c r="D15" s="4">
        <f>'FY2020 March Account'!F15</f>
        <v>452.02</v>
      </c>
      <c r="E15" s="4">
        <f>E75</f>
        <v>0</v>
      </c>
      <c r="F15" s="15">
        <f>(D15+E15)</f>
        <v>452.02</v>
      </c>
      <c r="G15" s="374"/>
    </row>
    <row r="16" spans="1:7" ht="15.75" x14ac:dyDescent="0.25">
      <c r="A16" s="374"/>
      <c r="B16" s="11"/>
      <c r="C16" s="3" t="s">
        <v>140</v>
      </c>
      <c r="D16" s="4">
        <f>'FY2020 March Account'!F16</f>
        <v>0</v>
      </c>
      <c r="E16" s="4">
        <v>0</v>
      </c>
      <c r="F16" s="15">
        <f>(D16+E16)</f>
        <v>0</v>
      </c>
      <c r="G16" s="374"/>
    </row>
    <row r="17" spans="1:7" x14ac:dyDescent="0.25">
      <c r="A17" s="374"/>
      <c r="B17" s="16" t="s">
        <v>137</v>
      </c>
      <c r="C17" s="2"/>
      <c r="D17" s="5">
        <f>'FY2020 March Account'!F17</f>
        <v>452.02</v>
      </c>
      <c r="E17" s="5">
        <f>SUM(E15:E16)</f>
        <v>0</v>
      </c>
      <c r="F17" s="17">
        <f>(D17+E17)</f>
        <v>452.02</v>
      </c>
      <c r="G17" s="374"/>
    </row>
    <row r="18" spans="1:7" ht="15.75" x14ac:dyDescent="0.25">
      <c r="A18" s="374"/>
      <c r="B18" s="11"/>
      <c r="C18" s="1"/>
      <c r="D18" s="1"/>
      <c r="E18" s="1"/>
      <c r="F18" s="12"/>
      <c r="G18" s="374"/>
    </row>
    <row r="19" spans="1:7" x14ac:dyDescent="0.25">
      <c r="A19" s="374"/>
      <c r="B19" s="83" t="s">
        <v>138</v>
      </c>
      <c r="C19" s="84"/>
      <c r="D19" s="85">
        <f>'FY2020 March Account'!F19</f>
        <v>147886.05999999997</v>
      </c>
      <c r="E19" s="85">
        <f>SUM(E12,E17)</f>
        <v>64163</v>
      </c>
      <c r="F19" s="86">
        <f>(D19+E19)</f>
        <v>212049.05999999997</v>
      </c>
      <c r="G19" s="374"/>
    </row>
    <row r="20" spans="1:7" ht="15.75" x14ac:dyDescent="0.25">
      <c r="A20" s="374"/>
      <c r="B20" s="11"/>
      <c r="C20" s="1"/>
      <c r="D20" s="1"/>
      <c r="E20" s="1"/>
      <c r="F20" s="12"/>
      <c r="G20" s="374"/>
    </row>
    <row r="21" spans="1:7" x14ac:dyDescent="0.25">
      <c r="A21" s="374"/>
      <c r="B21" s="73" t="s">
        <v>55</v>
      </c>
      <c r="C21" s="74"/>
      <c r="D21" s="74"/>
      <c r="E21" s="74"/>
      <c r="F21" s="75"/>
      <c r="G21" s="374"/>
    </row>
    <row r="22" spans="1:7" ht="15.75" x14ac:dyDescent="0.25">
      <c r="A22" s="374"/>
      <c r="B22" s="11"/>
      <c r="C22" s="1"/>
      <c r="D22" s="1"/>
      <c r="E22" s="1"/>
      <c r="F22" s="12"/>
      <c r="G22" s="374"/>
    </row>
    <row r="23" spans="1:7" x14ac:dyDescent="0.25">
      <c r="A23" s="374"/>
      <c r="B23" s="13" t="s">
        <v>56</v>
      </c>
      <c r="C23" s="2"/>
      <c r="D23" s="2"/>
      <c r="E23" s="2"/>
      <c r="F23" s="14"/>
      <c r="G23" s="374"/>
    </row>
    <row r="24" spans="1:7" ht="15.75" x14ac:dyDescent="0.25">
      <c r="A24" s="374"/>
      <c r="B24" s="11"/>
      <c r="C24" s="3" t="s">
        <v>57</v>
      </c>
      <c r="D24" s="4">
        <f>'FY2020 March Account'!F24</f>
        <v>210343.30000000002</v>
      </c>
      <c r="E24" s="4">
        <f>SUMIFS(TraFY2020Apr[[ Amount]],TraFY2020Apr[[ Acct Desc]], "Transfer In*") + SUMIFS(TraFY2020Apr[[ Amount]],TraFY2020Apr[[ Acct Desc]], "ASG FEE*")</f>
        <v>0</v>
      </c>
      <c r="F24" s="15">
        <f>(D24+E24)</f>
        <v>210343.30000000002</v>
      </c>
      <c r="G24" s="374"/>
    </row>
    <row r="25" spans="1:7" ht="15.75" x14ac:dyDescent="0.25">
      <c r="A25" s="374"/>
      <c r="B25" s="11"/>
      <c r="C25" s="3" t="s">
        <v>129</v>
      </c>
      <c r="D25" s="4">
        <f>'FY2020 March Account'!F25</f>
        <v>3071.07</v>
      </c>
      <c r="E25" s="4">
        <f>SUMIFS(TraFY2020Apr[[ Amount]],TraFY2020Apr[[ Acct Desc]], "*Income*")</f>
        <v>0</v>
      </c>
      <c r="F25" s="15">
        <f>(D25+E25)</f>
        <v>3071.07</v>
      </c>
      <c r="G25" s="374"/>
    </row>
    <row r="26" spans="1:7" ht="15.75" x14ac:dyDescent="0.25">
      <c r="A26" s="374"/>
      <c r="B26" s="11"/>
      <c r="C26" s="3" t="s">
        <v>2019</v>
      </c>
      <c r="D26" s="4">
        <f>'FY2020 March Account'!F26</f>
        <v>0</v>
      </c>
      <c r="E26" s="4">
        <v>0</v>
      </c>
      <c r="F26" s="15">
        <f>(D26+E26)</f>
        <v>0</v>
      </c>
      <c r="G26" s="374"/>
    </row>
    <row r="27" spans="1:7" x14ac:dyDescent="0.25">
      <c r="A27" s="374"/>
      <c r="B27" s="16" t="s">
        <v>58</v>
      </c>
      <c r="C27" s="2"/>
      <c r="D27" s="5">
        <f>'FY2020 March Account'!F27</f>
        <v>213414.37</v>
      </c>
      <c r="E27" s="5">
        <f>SUM(E24:E26)</f>
        <v>0</v>
      </c>
      <c r="F27" s="17">
        <f>(D27+E27)</f>
        <v>213414.37</v>
      </c>
      <c r="G27" s="374"/>
    </row>
    <row r="28" spans="1:7" ht="15.75" x14ac:dyDescent="0.25">
      <c r="A28" s="374"/>
      <c r="B28" s="11"/>
      <c r="C28" s="1"/>
      <c r="D28" s="1"/>
      <c r="E28" s="1"/>
      <c r="F28" s="12"/>
      <c r="G28" s="374"/>
    </row>
    <row r="29" spans="1:7" x14ac:dyDescent="0.25">
      <c r="A29" s="374"/>
      <c r="B29" s="13" t="s">
        <v>59</v>
      </c>
      <c r="C29" s="2"/>
      <c r="D29" s="2"/>
      <c r="E29" s="2"/>
      <c r="F29" s="14"/>
      <c r="G29" s="374"/>
    </row>
    <row r="30" spans="1:7" ht="15.75" x14ac:dyDescent="0.25">
      <c r="A30" s="374"/>
      <c r="B30" s="11"/>
      <c r="C30" s="3" t="s">
        <v>60</v>
      </c>
      <c r="D30" s="4">
        <f>'FY2020 March Account'!F30</f>
        <v>0</v>
      </c>
      <c r="E30" s="4">
        <v>0</v>
      </c>
      <c r="F30" s="15">
        <f>(D30+E30)</f>
        <v>0</v>
      </c>
      <c r="G30" s="374"/>
    </row>
    <row r="31" spans="1:7" ht="15.75" x14ac:dyDescent="0.25">
      <c r="A31" s="374"/>
      <c r="B31" s="11"/>
      <c r="C31" s="3" t="s">
        <v>2018</v>
      </c>
      <c r="D31" s="4">
        <f>'FY2020 March Account'!F31</f>
        <v>421</v>
      </c>
      <c r="E31" s="4"/>
      <c r="F31" s="15">
        <f>(D31+E31)</f>
        <v>421</v>
      </c>
      <c r="G31" s="374"/>
    </row>
    <row r="32" spans="1:7" x14ac:dyDescent="0.25">
      <c r="A32" s="374"/>
      <c r="B32" s="16" t="s">
        <v>61</v>
      </c>
      <c r="C32" s="2"/>
      <c r="D32" s="5">
        <f>'FY2020 March Account'!F32</f>
        <v>421</v>
      </c>
      <c r="E32" s="5">
        <f>SUM(E30:E31)</f>
        <v>0</v>
      </c>
      <c r="F32" s="17">
        <f>(D32+E32)</f>
        <v>421</v>
      </c>
      <c r="G32" s="374"/>
    </row>
    <row r="33" spans="1:7" ht="15.75" x14ac:dyDescent="0.25">
      <c r="A33" s="374"/>
      <c r="B33" s="11"/>
      <c r="C33" s="1"/>
      <c r="D33" s="1"/>
      <c r="E33" s="1"/>
      <c r="F33" s="12"/>
      <c r="G33" s="374"/>
    </row>
    <row r="34" spans="1:7" x14ac:dyDescent="0.25">
      <c r="A34" s="374"/>
      <c r="B34" s="76" t="s">
        <v>62</v>
      </c>
      <c r="C34" s="77"/>
      <c r="D34" s="78">
        <f>'FY2020 March Account'!F34</f>
        <v>213835.37</v>
      </c>
      <c r="E34" s="78">
        <f>SUM(E27,E32)</f>
        <v>0</v>
      </c>
      <c r="F34" s="79">
        <f>(D34+E34)</f>
        <v>213835.37</v>
      </c>
      <c r="G34" s="374"/>
    </row>
    <row r="35" spans="1:7" ht="15.75" x14ac:dyDescent="0.25">
      <c r="A35" s="374"/>
      <c r="B35" s="11"/>
      <c r="C35" s="1"/>
      <c r="D35" s="1"/>
      <c r="E35" s="1"/>
      <c r="F35" s="12"/>
      <c r="G35" s="374"/>
    </row>
    <row r="36" spans="1:7" ht="15.75" x14ac:dyDescent="0.25">
      <c r="A36" s="374"/>
      <c r="B36" s="344" t="s">
        <v>169</v>
      </c>
      <c r="C36" s="345"/>
      <c r="D36" s="345"/>
      <c r="E36" s="345"/>
      <c r="F36" s="346"/>
      <c r="G36" s="374"/>
    </row>
    <row r="37" spans="1:7" ht="15.75" x14ac:dyDescent="0.25">
      <c r="A37" s="374"/>
      <c r="B37" s="11"/>
      <c r="C37" s="1"/>
      <c r="D37" s="1"/>
      <c r="E37" s="1"/>
      <c r="F37" s="12"/>
      <c r="G37" s="374"/>
    </row>
    <row r="38" spans="1:7" x14ac:dyDescent="0.25">
      <c r="A38" s="374"/>
      <c r="B38" s="66" t="s">
        <v>63</v>
      </c>
      <c r="C38" s="67"/>
      <c r="D38" s="67"/>
      <c r="E38" s="67"/>
      <c r="F38" s="68"/>
      <c r="G38" s="374"/>
    </row>
    <row r="39" spans="1:7" x14ac:dyDescent="0.25">
      <c r="A39" s="374"/>
      <c r="B39" s="18"/>
      <c r="C39" s="3"/>
      <c r="D39" s="3"/>
      <c r="E39" s="3"/>
      <c r="F39" s="19"/>
      <c r="G39" s="374"/>
    </row>
    <row r="40" spans="1:7" x14ac:dyDescent="0.25">
      <c r="A40" s="374"/>
      <c r="B40" s="13" t="s">
        <v>64</v>
      </c>
      <c r="C40" s="2"/>
      <c r="D40" s="2"/>
      <c r="E40" s="2"/>
      <c r="F40" s="14"/>
      <c r="G40" s="374"/>
    </row>
    <row r="41" spans="1:7" x14ac:dyDescent="0.25">
      <c r="A41" s="374"/>
      <c r="B41" s="20"/>
      <c r="C41" s="3" t="s">
        <v>65</v>
      </c>
      <c r="D41" s="4">
        <f>'FY2020 March Account'!F41</f>
        <v>1300</v>
      </c>
      <c r="E41" s="4">
        <f>SUMIFS(TraFY2020Apr[[ Amount]],TraFY2020Apr[[ Description]], "*ADAM SCHMIDT*", TraFY2020Apr[[ Acct Desc]], "Participant Stipends")</f>
        <v>0</v>
      </c>
      <c r="F41" s="15">
        <f>(D41-E41)</f>
        <v>1300</v>
      </c>
      <c r="G41" s="374"/>
    </row>
    <row r="42" spans="1:7" x14ac:dyDescent="0.25">
      <c r="A42" s="374"/>
      <c r="B42" s="20"/>
      <c r="C42" s="3" t="s">
        <v>66</v>
      </c>
      <c r="D42" s="4">
        <f>'FY2020 March Account'!F42</f>
        <v>800</v>
      </c>
      <c r="E42" s="4">
        <f>SUMIFS(TraFY2020Apr[[ Amount]],TraFY2020Apr[[ Description]], "*RAEKWON L. DAVIS*", TraFY2020Apr[[ Acct Desc]], "Participant Stipends")</f>
        <v>0</v>
      </c>
      <c r="F42" s="15">
        <f t="shared" ref="F42:F49" si="0">(D42-E42)</f>
        <v>800</v>
      </c>
      <c r="G42" s="374"/>
    </row>
    <row r="43" spans="1:7" x14ac:dyDescent="0.25">
      <c r="A43" s="374"/>
      <c r="B43" s="20"/>
      <c r="C43" s="3" t="s">
        <v>67</v>
      </c>
      <c r="D43" s="4">
        <f>'FY2020 March Account'!F43</f>
        <v>450</v>
      </c>
      <c r="E43" s="4">
        <f>SUMIFS(TraFY2020Apr[[ Amount]],TraFY2020Apr[[ Description]], "*RYAN DUNN*", TraFY2020Apr[[ Acct Desc]], "Participant Stipends")</f>
        <v>0</v>
      </c>
      <c r="F43" s="15">
        <f t="shared" si="0"/>
        <v>450</v>
      </c>
      <c r="G43" s="374"/>
    </row>
    <row r="44" spans="1:7" x14ac:dyDescent="0.25">
      <c r="A44" s="374"/>
      <c r="B44" s="20"/>
      <c r="C44" s="3" t="s">
        <v>68</v>
      </c>
      <c r="D44" s="4">
        <f>'FY2020 March Account'!F44</f>
        <v>400</v>
      </c>
      <c r="E44" s="4">
        <f>SUMIFS(TraFY2020Apr[[ Amount]],TraFY2020Apr[[ Description]], "*NATHANIEL BLAKE JACOBS*", TraFY2020Apr[[ Acct Desc]], "Participant Stipends")</f>
        <v>0</v>
      </c>
      <c r="F44" s="15">
        <f t="shared" si="0"/>
        <v>400</v>
      </c>
      <c r="G44" s="374"/>
    </row>
    <row r="45" spans="1:7" x14ac:dyDescent="0.25">
      <c r="A45" s="374"/>
      <c r="B45" s="20"/>
      <c r="C45" s="3" t="s">
        <v>69</v>
      </c>
      <c r="D45" s="4">
        <f>'FY2020 March Account'!F45</f>
        <v>400</v>
      </c>
      <c r="E45" s="4">
        <f>SUMIFS(TraFY2020Apr[[ Amount]],TraFY2020Apr[[ Description]], "*MEARS*", TraFY2020Apr[[ Acct Desc]], "Participant Stipends")</f>
        <v>0</v>
      </c>
      <c r="F45" s="15">
        <f t="shared" si="0"/>
        <v>400</v>
      </c>
      <c r="G45" s="374"/>
    </row>
    <row r="46" spans="1:7" x14ac:dyDescent="0.25">
      <c r="A46" s="374"/>
      <c r="B46" s="20"/>
      <c r="C46" s="3" t="s">
        <v>70</v>
      </c>
      <c r="D46" s="4">
        <f>'FY2020 March Account'!F46</f>
        <v>400</v>
      </c>
      <c r="E46" s="4">
        <f>SUMIFS(TraFY2020Apr[[ Amount]],TraFY2020Apr[[ Description]], "*OLIVIA TARPLEY*", TraFY2020Apr[[ Acct Desc]], "Participant Stipends")</f>
        <v>0</v>
      </c>
      <c r="F46" s="15">
        <f t="shared" si="0"/>
        <v>400</v>
      </c>
      <c r="G46" s="374"/>
    </row>
    <row r="47" spans="1:7" x14ac:dyDescent="0.25">
      <c r="A47" s="374"/>
      <c r="B47" s="20"/>
      <c r="C47" s="3" t="s">
        <v>71</v>
      </c>
      <c r="D47" s="4">
        <f>'FY2020 March Account'!F47</f>
        <v>400</v>
      </c>
      <c r="E47" s="4">
        <f>SUMIFS(TraFY2020Apr[[ Amount]],TraFY2020Apr[[ Description]], "*JACOB NEWTON*", TraFY2020Apr[[ Acct Desc]], "Participant Stipends")</f>
        <v>0</v>
      </c>
      <c r="F47" s="15">
        <f t="shared" si="0"/>
        <v>400</v>
      </c>
      <c r="G47" s="374"/>
    </row>
    <row r="48" spans="1:7" x14ac:dyDescent="0.25">
      <c r="A48" s="374"/>
      <c r="B48" s="20"/>
      <c r="C48" s="3" t="s">
        <v>72</v>
      </c>
      <c r="D48" s="4">
        <f>'FY2020 March Account'!F48</f>
        <v>400</v>
      </c>
      <c r="E48" s="4">
        <f>SUMIFS(TraFY2020Apr[[ Amount]],TraFY2020Apr[[ Description]], "*AVERY WALTER*", TraFY2020Apr[[ Acct Desc]], "Participant Stipends")</f>
        <v>0</v>
      </c>
      <c r="F48" s="15">
        <f t="shared" si="0"/>
        <v>400</v>
      </c>
      <c r="G48" s="374"/>
    </row>
    <row r="49" spans="1:7" x14ac:dyDescent="0.25">
      <c r="A49" s="374"/>
      <c r="B49" s="20"/>
      <c r="C49" s="3" t="s">
        <v>73</v>
      </c>
      <c r="D49" s="4">
        <f>'FY2020 March Account'!F49</f>
        <v>400</v>
      </c>
      <c r="E49" s="4">
        <f>SUMIFS(TraFY2020Apr[[ Amount]],TraFY2020Apr[[ Description]], "*SKYE GREGG*", TraFY2020Apr[[ Acct Desc]], "Participant Stipends")</f>
        <v>0</v>
      </c>
      <c r="F49" s="15">
        <f t="shared" si="0"/>
        <v>400</v>
      </c>
      <c r="G49" s="374"/>
    </row>
    <row r="50" spans="1:7" x14ac:dyDescent="0.25">
      <c r="A50" s="374"/>
      <c r="B50" s="16" t="s">
        <v>74</v>
      </c>
      <c r="C50" s="2"/>
      <c r="D50" s="5">
        <f>'FY2020 March Account'!F50</f>
        <v>4950</v>
      </c>
      <c r="E50" s="6">
        <f>SUM(E41:E49)</f>
        <v>0</v>
      </c>
      <c r="F50" s="21">
        <f>(D50-E50)</f>
        <v>4950</v>
      </c>
      <c r="G50" s="374"/>
    </row>
    <row r="51" spans="1:7" x14ac:dyDescent="0.25">
      <c r="A51" s="374"/>
      <c r="B51" s="20"/>
      <c r="C51" s="3"/>
      <c r="D51" s="3"/>
      <c r="E51" s="3"/>
      <c r="F51" s="19"/>
      <c r="G51" s="374"/>
    </row>
    <row r="52" spans="1:7" x14ac:dyDescent="0.25">
      <c r="A52" s="374"/>
      <c r="B52" s="13" t="s">
        <v>75</v>
      </c>
      <c r="C52" s="2"/>
      <c r="D52" s="2"/>
      <c r="E52" s="2"/>
      <c r="F52" s="14"/>
      <c r="G52" s="374"/>
    </row>
    <row r="53" spans="1:7" x14ac:dyDescent="0.25">
      <c r="A53" s="374"/>
      <c r="B53" s="20"/>
      <c r="C53" s="3" t="s">
        <v>76</v>
      </c>
      <c r="D53" s="4">
        <f>'FY2020 March Account'!F53</f>
        <v>13250.240000000005</v>
      </c>
      <c r="E53" s="4">
        <f>SUMIFS(TraFY2020Apr[[ Amount]],TraFY2020Apr[[ Acct Desc]], "EHRA*")</f>
        <v>0</v>
      </c>
      <c r="F53" s="15">
        <f>(D53-E53)</f>
        <v>13250.240000000005</v>
      </c>
      <c r="G53" s="374"/>
    </row>
    <row r="54" spans="1:7" x14ac:dyDescent="0.25">
      <c r="A54" s="374"/>
      <c r="B54" s="20"/>
      <c r="C54" s="3" t="s">
        <v>77</v>
      </c>
      <c r="D54" s="4">
        <f>'FY2020 March Account'!F54</f>
        <v>4091.5999999999972</v>
      </c>
      <c r="E54" s="4">
        <f>SUMIFS(TraFY2020Apr[[ Amount]],TraFY2020Apr[[ Acct Desc]], "ORP-TIAA Ret*")</f>
        <v>0</v>
      </c>
      <c r="F54" s="15">
        <f t="shared" ref="F54:F57" si="1">(D54-E54)</f>
        <v>4091.5999999999972</v>
      </c>
      <c r="G54" s="374"/>
    </row>
    <row r="55" spans="1:7" x14ac:dyDescent="0.25">
      <c r="A55" s="374"/>
      <c r="B55" s="20"/>
      <c r="C55" s="3" t="s">
        <v>78</v>
      </c>
      <c r="D55" s="4">
        <f>'FY2020 March Account'!F55</f>
        <v>-218.74000000000069</v>
      </c>
      <c r="E55" s="4">
        <f>SUMIFS(TraFY2020Apr[[ Amount]],TraFY2020Apr[[ Acct Desc]], "ORP-TIAA Hea*") + SUMIFS(TraFY2020Apr[[ Amount]],TraFY2020Apr[[ Acct Desc]], "Medical*")</f>
        <v>0</v>
      </c>
      <c r="F55" s="15">
        <f t="shared" si="1"/>
        <v>-218.74000000000069</v>
      </c>
      <c r="G55" s="374"/>
    </row>
    <row r="56" spans="1:7" x14ac:dyDescent="0.25">
      <c r="A56" s="374"/>
      <c r="B56" s="20"/>
      <c r="C56" s="3" t="s">
        <v>79</v>
      </c>
      <c r="D56" s="4">
        <f>'FY2020 March Account'!F56</f>
        <v>862.03000000000065</v>
      </c>
      <c r="E56" s="4">
        <f>SUMIFS(TraFY2020Apr[[ Amount]],TraFY2020Apr[[ Acct Desc]], "Social Security-OASDI")</f>
        <v>0</v>
      </c>
      <c r="F56" s="15">
        <f t="shared" si="1"/>
        <v>862.03000000000065</v>
      </c>
      <c r="G56" s="374"/>
    </row>
    <row r="57" spans="1:7" x14ac:dyDescent="0.25">
      <c r="A57" s="374"/>
      <c r="B57" s="20"/>
      <c r="C57" s="3" t="s">
        <v>80</v>
      </c>
      <c r="D57" s="4">
        <f>'FY2020 March Account'!F57</f>
        <v>201.57999999999996</v>
      </c>
      <c r="E57" s="4">
        <f>SUMIFS(TraFY2020Apr[[ Amount]],TraFY2020Apr[[ Acct Desc]], "*Hospital Ins*")</f>
        <v>0</v>
      </c>
      <c r="F57" s="15">
        <f t="shared" si="1"/>
        <v>201.57999999999996</v>
      </c>
      <c r="G57" s="374"/>
    </row>
    <row r="58" spans="1:7" x14ac:dyDescent="0.25">
      <c r="A58" s="374"/>
      <c r="B58" s="16" t="s">
        <v>81</v>
      </c>
      <c r="C58" s="2"/>
      <c r="D58" s="5">
        <f>'FY2020 March Account'!F58</f>
        <v>18186.71</v>
      </c>
      <c r="E58" s="6">
        <f>SUM(E53:E57)</f>
        <v>0</v>
      </c>
      <c r="F58" s="21">
        <f>(D58-E58)</f>
        <v>18186.71</v>
      </c>
      <c r="G58" s="374"/>
    </row>
    <row r="59" spans="1:7" x14ac:dyDescent="0.25">
      <c r="A59" s="374"/>
      <c r="B59" s="20"/>
      <c r="C59" s="3"/>
      <c r="D59" s="3"/>
      <c r="E59" s="3"/>
      <c r="F59" s="19"/>
      <c r="G59" s="374"/>
    </row>
    <row r="60" spans="1:7" x14ac:dyDescent="0.25">
      <c r="A60" s="374"/>
      <c r="B60" s="13" t="s">
        <v>82</v>
      </c>
      <c r="C60" s="2"/>
      <c r="D60" s="2"/>
      <c r="E60" s="2"/>
      <c r="F60" s="14"/>
      <c r="G60" s="374"/>
    </row>
    <row r="61" spans="1:7" x14ac:dyDescent="0.25">
      <c r="A61" s="374"/>
      <c r="B61" s="20"/>
      <c r="C61" s="3" t="s">
        <v>83</v>
      </c>
      <c r="D61" s="4">
        <f>'FY2020 March Account'!F61</f>
        <v>4250</v>
      </c>
      <c r="E61" s="4">
        <f>SUMIFS(TraFY2020Apr[[ Amount]],TraFY2020Apr[[ Trans ID]], "*STIP_ASG*",TraFY2020Apr[[ Amount]], "125" ) + SUMIFS(TraFY2020Apr[[ Amount]],TraFY2020Apr[[ Trans ID]], "*STIP_ASG*",TraFY2020Apr[[ Amount]], "-125" )</f>
        <v>0</v>
      </c>
      <c r="F61" s="15">
        <f t="shared" ref="F61" si="2">(D61-E61)</f>
        <v>4250</v>
      </c>
      <c r="G61" s="374"/>
    </row>
    <row r="62" spans="1:7" x14ac:dyDescent="0.25">
      <c r="A62" s="374"/>
      <c r="B62" s="16" t="s">
        <v>84</v>
      </c>
      <c r="C62" s="2"/>
      <c r="D62" s="5">
        <f>'FY2020 March Account'!F62</f>
        <v>4250</v>
      </c>
      <c r="E62" s="6">
        <f>SUM(E61:E61)</f>
        <v>0</v>
      </c>
      <c r="F62" s="21">
        <f>(D62-E62)</f>
        <v>4250</v>
      </c>
      <c r="G62" s="374"/>
    </row>
    <row r="63" spans="1:7" x14ac:dyDescent="0.25">
      <c r="A63" s="374"/>
      <c r="B63" s="20"/>
      <c r="C63" s="3"/>
      <c r="D63" s="3"/>
      <c r="E63" s="3"/>
      <c r="F63" s="19"/>
      <c r="G63" s="374"/>
    </row>
    <row r="64" spans="1:7" x14ac:dyDescent="0.25">
      <c r="A64" s="374"/>
      <c r="B64" s="69" t="s">
        <v>85</v>
      </c>
      <c r="C64" s="70"/>
      <c r="D64" s="71">
        <f>'FY2020 March Account'!F64</f>
        <v>27386.710000000006</v>
      </c>
      <c r="E64" s="71">
        <f>SUM(E50, E58, E62)</f>
        <v>0</v>
      </c>
      <c r="F64" s="72">
        <f>(D64-E64)</f>
        <v>27386.710000000006</v>
      </c>
      <c r="G64" s="374"/>
    </row>
    <row r="65" spans="1:7" x14ac:dyDescent="0.25">
      <c r="A65" s="374"/>
      <c r="B65" s="20"/>
      <c r="C65" s="3"/>
      <c r="D65" s="3"/>
      <c r="E65" s="3"/>
      <c r="F65" s="19"/>
      <c r="G65" s="374"/>
    </row>
    <row r="66" spans="1:7" x14ac:dyDescent="0.25">
      <c r="A66" s="374"/>
      <c r="B66" s="58" t="s">
        <v>130</v>
      </c>
      <c r="C66" s="59"/>
      <c r="D66" s="59"/>
      <c r="E66" s="59"/>
      <c r="F66" s="60"/>
      <c r="G66" s="374"/>
    </row>
    <row r="67" spans="1:7" x14ac:dyDescent="0.25">
      <c r="A67" s="374"/>
      <c r="B67" s="18"/>
      <c r="C67" s="3"/>
      <c r="D67" s="3"/>
      <c r="E67" s="3"/>
      <c r="F67" s="19"/>
      <c r="G67" s="374"/>
    </row>
    <row r="68" spans="1:7" x14ac:dyDescent="0.25">
      <c r="A68" s="374"/>
      <c r="B68" s="13" t="s">
        <v>86</v>
      </c>
      <c r="C68" s="2"/>
      <c r="D68" s="2"/>
      <c r="E68" s="2"/>
      <c r="F68" s="14"/>
      <c r="G68" s="374"/>
    </row>
    <row r="69" spans="1:7" x14ac:dyDescent="0.25">
      <c r="A69" s="374"/>
      <c r="B69" s="20"/>
      <c r="C69" s="3" t="s">
        <v>87</v>
      </c>
      <c r="D69" s="4">
        <f>'FY2020 March Account'!F69</f>
        <v>174</v>
      </c>
      <c r="E69" s="4">
        <f>SUMIFS(TraFY2020Apr[[ Amount]],TraFY2020Apr[[ Acct Desc]], "Teleph*")</f>
        <v>0</v>
      </c>
      <c r="F69" s="15">
        <f t="shared" ref="F69:F70" si="3">(D69-E69)</f>
        <v>174</v>
      </c>
      <c r="G69" s="374"/>
    </row>
    <row r="70" spans="1:7" x14ac:dyDescent="0.25">
      <c r="A70" s="374"/>
      <c r="B70" s="20"/>
      <c r="C70" s="3" t="s">
        <v>88</v>
      </c>
      <c r="D70" s="4">
        <f>'FY2020 March Account'!F70</f>
        <v>597.47</v>
      </c>
      <c r="E70" s="4">
        <v>0</v>
      </c>
      <c r="F70" s="15">
        <f t="shared" si="3"/>
        <v>597.47</v>
      </c>
      <c r="G70" s="374"/>
    </row>
    <row r="71" spans="1:7" x14ac:dyDescent="0.25">
      <c r="A71" s="374"/>
      <c r="B71" s="16" t="s">
        <v>89</v>
      </c>
      <c r="C71" s="2"/>
      <c r="D71" s="5">
        <f>'FY2020 March Account'!F71</f>
        <v>771.47000000000025</v>
      </c>
      <c r="E71" s="6">
        <f>SUM(E69:E70)</f>
        <v>0</v>
      </c>
      <c r="F71" s="21">
        <f>(D71-E71)</f>
        <v>771.47000000000025</v>
      </c>
      <c r="G71" s="374"/>
    </row>
    <row r="72" spans="1:7" x14ac:dyDescent="0.25">
      <c r="A72" s="374"/>
      <c r="B72" s="20"/>
      <c r="C72" s="3"/>
      <c r="D72" s="3"/>
      <c r="E72" s="3"/>
      <c r="F72" s="19"/>
      <c r="G72" s="374"/>
    </row>
    <row r="73" spans="1:7" x14ac:dyDescent="0.25">
      <c r="A73" s="374"/>
      <c r="B73" s="13" t="s">
        <v>90</v>
      </c>
      <c r="C73" s="2"/>
      <c r="D73" s="2"/>
      <c r="E73" s="2"/>
      <c r="F73" s="14"/>
      <c r="G73" s="374"/>
    </row>
    <row r="74" spans="1:7" x14ac:dyDescent="0.25">
      <c r="A74" s="374"/>
      <c r="B74" s="20"/>
      <c r="C74" s="3" t="s">
        <v>91</v>
      </c>
      <c r="D74" s="4">
        <f>'FY2020 March Account'!F74</f>
        <v>132</v>
      </c>
      <c r="E74" s="4">
        <f>'FY2020 April Transactions'!E3</f>
        <v>132</v>
      </c>
      <c r="F74" s="15">
        <f t="shared" ref="F74:F76" si="4">(D74-E74)</f>
        <v>0</v>
      </c>
      <c r="G74" s="374"/>
    </row>
    <row r="75" spans="1:7" x14ac:dyDescent="0.25">
      <c r="A75" s="374"/>
      <c r="B75" s="20"/>
      <c r="C75" s="3" t="s">
        <v>92</v>
      </c>
      <c r="D75" s="4">
        <f>'FY2020 March Account'!F75</f>
        <v>547.98</v>
      </c>
      <c r="E75" s="4">
        <v>0</v>
      </c>
      <c r="F75" s="15">
        <f t="shared" si="4"/>
        <v>547.98</v>
      </c>
      <c r="G75" s="374"/>
    </row>
    <row r="76" spans="1:7" x14ac:dyDescent="0.25">
      <c r="A76" s="374"/>
      <c r="B76" s="20"/>
      <c r="C76" s="3" t="s">
        <v>93</v>
      </c>
      <c r="D76" s="4">
        <f>'FY2020 March Account'!F76</f>
        <v>500</v>
      </c>
      <c r="E76" s="4">
        <v>0</v>
      </c>
      <c r="F76" s="15">
        <f t="shared" si="4"/>
        <v>500</v>
      </c>
      <c r="G76" s="374"/>
    </row>
    <row r="77" spans="1:7" x14ac:dyDescent="0.25">
      <c r="A77" s="374"/>
      <c r="B77" s="16" t="s">
        <v>94</v>
      </c>
      <c r="C77" s="2"/>
      <c r="D77" s="5">
        <f>'FY2020 March Account'!F77</f>
        <v>1179.98</v>
      </c>
      <c r="E77" s="6">
        <f>SUM(E74:E76)</f>
        <v>132</v>
      </c>
      <c r="F77" s="21">
        <f>(D77-E77)</f>
        <v>1047.98</v>
      </c>
      <c r="G77" s="374"/>
    </row>
    <row r="78" spans="1:7" x14ac:dyDescent="0.25">
      <c r="A78" s="374"/>
      <c r="B78" s="20"/>
      <c r="C78" s="3"/>
      <c r="D78" s="3"/>
      <c r="E78" s="3"/>
      <c r="F78" s="19"/>
      <c r="G78" s="374"/>
    </row>
    <row r="79" spans="1:7" x14ac:dyDescent="0.25">
      <c r="A79" s="374"/>
      <c r="B79" s="61" t="s">
        <v>95</v>
      </c>
      <c r="C79" s="62"/>
      <c r="D79" s="63">
        <f>'FY2020 March Account'!F79</f>
        <v>1951.4500000000003</v>
      </c>
      <c r="E79" s="64">
        <f>SUM(E71, E77)</f>
        <v>132</v>
      </c>
      <c r="F79" s="65">
        <f>(D79-E79)</f>
        <v>1819.4500000000003</v>
      </c>
      <c r="G79" s="374"/>
    </row>
    <row r="80" spans="1:7" x14ac:dyDescent="0.25">
      <c r="A80" s="374"/>
      <c r="B80" s="20"/>
      <c r="C80" s="3"/>
      <c r="D80" s="3"/>
      <c r="E80" s="3"/>
      <c r="F80" s="19"/>
      <c r="G80" s="374"/>
    </row>
    <row r="81" spans="1:7" x14ac:dyDescent="0.25">
      <c r="A81" s="374"/>
      <c r="B81" s="51" t="s">
        <v>96</v>
      </c>
      <c r="C81" s="52"/>
      <c r="D81" s="52"/>
      <c r="E81" s="52"/>
      <c r="F81" s="53"/>
      <c r="G81" s="374"/>
    </row>
    <row r="82" spans="1:7" x14ac:dyDescent="0.25">
      <c r="A82" s="374"/>
      <c r="B82" s="18"/>
      <c r="C82" s="3"/>
      <c r="D82" s="3"/>
      <c r="E82" s="3"/>
      <c r="F82" s="19"/>
      <c r="G82" s="374"/>
    </row>
    <row r="83" spans="1:7" x14ac:dyDescent="0.25">
      <c r="A83" s="374"/>
      <c r="B83" s="13" t="s">
        <v>97</v>
      </c>
      <c r="C83" s="2"/>
      <c r="D83" s="2"/>
      <c r="E83" s="2"/>
      <c r="F83" s="14"/>
      <c r="G83" s="374"/>
    </row>
    <row r="84" spans="1:7" x14ac:dyDescent="0.25">
      <c r="A84" s="374"/>
      <c r="B84" s="20"/>
      <c r="C84" s="3" t="s">
        <v>98</v>
      </c>
      <c r="D84" s="4">
        <f>'FY2020 March Account'!F84</f>
        <v>-3.637978807091713E-12</v>
      </c>
      <c r="E84" s="4">
        <f>SUMIFS(TraFY2020Apr[[ Amount]],TraFY2020Apr[[ Acct Desc]], "*Lodging") + SUMIFS(TraFY2020Apr[[ Amount]],TraFY2020Apr[[ Acct Desc]], "*(4.1.1)*")</f>
        <v>0</v>
      </c>
      <c r="F84" s="15">
        <f>(D84-E84)</f>
        <v>-3.637978807091713E-12</v>
      </c>
      <c r="G84" s="374"/>
    </row>
    <row r="85" spans="1:7" x14ac:dyDescent="0.25">
      <c r="A85" s="374"/>
      <c r="B85" s="20"/>
      <c r="C85" s="3" t="s">
        <v>99</v>
      </c>
      <c r="D85" s="4">
        <f>'FY2020 March Account'!F85</f>
        <v>-9.0949470177292824E-13</v>
      </c>
      <c r="E85" s="4">
        <f>SUMIFS(TraFY2020Apr[[ Amount]],TraFY2020Apr[[ Acct Desc]], "*Ground") + SUMIFS(TraFY2020Apr[[ Amount]],TraFY2020Apr[[ Acct Desc]], "*Other") + SUMIFS(TraFY2020Apr[[ Amount]],TraFY2020Apr[[ Acct Desc]], "*(4.1.2)*")</f>
        <v>0</v>
      </c>
      <c r="F85" s="15">
        <f>(D85-E85)</f>
        <v>-9.0949470177292824E-13</v>
      </c>
      <c r="G85" s="374"/>
    </row>
    <row r="86" spans="1:7" x14ac:dyDescent="0.25">
      <c r="A86" s="374"/>
      <c r="B86" s="20"/>
      <c r="C86" s="3" t="s">
        <v>100</v>
      </c>
      <c r="D86" s="4">
        <f>'FY2020 March Account'!F86</f>
        <v>0</v>
      </c>
      <c r="E86" s="4">
        <f>SUMIFS(TraFY2020Apr[[ Amount]],TraFY2020Apr[[ Acct Desc]], "*Meetings*") +SUMIFS(TraFY2020Apr[[ Amount]], TraFY2020Apr[[ Acct Desc]], "*Meal*") + SUMIFS(TraFY2020Apr[[ Amount]],TraFY2020Apr[[ Acct Desc]], "*(4.1.3)*")</f>
        <v>0</v>
      </c>
      <c r="F86" s="15">
        <f t="shared" ref="F86" si="5">(D86-E86)</f>
        <v>0</v>
      </c>
      <c r="G86" s="374"/>
    </row>
    <row r="87" spans="1:7" x14ac:dyDescent="0.25">
      <c r="A87" s="374"/>
      <c r="B87" s="16" t="s">
        <v>101</v>
      </c>
      <c r="C87" s="2"/>
      <c r="D87" s="5">
        <f>'FY2020 March Account'!F87</f>
        <v>0</v>
      </c>
      <c r="E87" s="6">
        <f>SUM(E84:E86)</f>
        <v>0</v>
      </c>
      <c r="F87" s="21">
        <f>(D87-E87)</f>
        <v>0</v>
      </c>
      <c r="G87" s="374"/>
    </row>
    <row r="88" spans="1:7" x14ac:dyDescent="0.25">
      <c r="A88" s="374"/>
      <c r="B88" s="20"/>
      <c r="C88" s="3"/>
      <c r="D88" s="3"/>
      <c r="E88" s="3"/>
      <c r="F88" s="19"/>
      <c r="G88" s="374"/>
    </row>
    <row r="89" spans="1:7" x14ac:dyDescent="0.25">
      <c r="A89" s="374"/>
      <c r="B89" s="13" t="s">
        <v>102</v>
      </c>
      <c r="C89" s="2"/>
      <c r="D89" s="2"/>
      <c r="E89" s="2"/>
      <c r="F89" s="14"/>
      <c r="G89" s="374"/>
    </row>
    <row r="90" spans="1:7" x14ac:dyDescent="0.25">
      <c r="A90" s="374"/>
      <c r="B90" s="20"/>
      <c r="C90" s="3" t="s">
        <v>103</v>
      </c>
      <c r="D90" s="4">
        <f>'FY2020 March Account'!F90</f>
        <v>0</v>
      </c>
      <c r="E90" s="4">
        <f>SUMIFS(TraFY2020Apr[[ Amount]],TraFY2020Apr[[ Acct Desc]], "*(4.2.1)*")</f>
        <v>0</v>
      </c>
      <c r="F90" s="15">
        <f t="shared" ref="F90:F92" si="6">(D90-E90)</f>
        <v>0</v>
      </c>
      <c r="G90" s="374"/>
    </row>
    <row r="91" spans="1:7" x14ac:dyDescent="0.25">
      <c r="A91" s="374"/>
      <c r="B91" s="20"/>
      <c r="C91" s="3" t="s">
        <v>104</v>
      </c>
      <c r="D91" s="4">
        <f>'FY2020 March Account'!F91</f>
        <v>0</v>
      </c>
      <c r="E91" s="4">
        <f>SUMIFS(TraFY2020Apr[[ Amount]],TraFY2020Apr[[ Acct Desc]], "*(4.2.2)*")</f>
        <v>0</v>
      </c>
      <c r="F91" s="15">
        <f t="shared" si="6"/>
        <v>0</v>
      </c>
      <c r="G91" s="374"/>
    </row>
    <row r="92" spans="1:7" x14ac:dyDescent="0.25">
      <c r="A92" s="374"/>
      <c r="B92" s="20"/>
      <c r="C92" s="3" t="s">
        <v>1993</v>
      </c>
      <c r="D92" s="4">
        <f>'FY2020 March Account'!F92</f>
        <v>0</v>
      </c>
      <c r="E92" s="4">
        <f>SUMIFS(TraFY2020Apr[[ Amount]],TraFY2020Apr[[ Acct Desc]], "*(4.2.3)*")</f>
        <v>0</v>
      </c>
      <c r="F92" s="15">
        <f t="shared" si="6"/>
        <v>0</v>
      </c>
      <c r="G92" s="374"/>
    </row>
    <row r="93" spans="1:7" x14ac:dyDescent="0.25">
      <c r="A93" s="374"/>
      <c r="B93" s="16" t="s">
        <v>105</v>
      </c>
      <c r="C93" s="2"/>
      <c r="D93" s="5">
        <f>'FY2020 March Account'!F93</f>
        <v>0</v>
      </c>
      <c r="E93" s="6">
        <f>SUM(E90:E92)</f>
        <v>0</v>
      </c>
      <c r="F93" s="21">
        <f>(D93-E93)</f>
        <v>0</v>
      </c>
      <c r="G93" s="374"/>
    </row>
    <row r="94" spans="1:7" x14ac:dyDescent="0.25">
      <c r="A94" s="374"/>
      <c r="B94" s="20"/>
      <c r="C94" s="3"/>
      <c r="D94" s="3"/>
      <c r="E94" s="3"/>
      <c r="F94" s="19"/>
      <c r="G94" s="374"/>
    </row>
    <row r="95" spans="1:7" x14ac:dyDescent="0.25">
      <c r="A95" s="374"/>
      <c r="B95" s="54" t="s">
        <v>106</v>
      </c>
      <c r="C95" s="55"/>
      <c r="D95" s="56">
        <f>'FY2020 March Account'!F95</f>
        <v>7.2759576141834259E-12</v>
      </c>
      <c r="E95" s="56">
        <f>SUM(E87, E93)</f>
        <v>0</v>
      </c>
      <c r="F95" s="57">
        <f>(D95-E95)</f>
        <v>7.2759576141834259E-12</v>
      </c>
      <c r="G95" s="374"/>
    </row>
    <row r="96" spans="1:7" x14ac:dyDescent="0.25">
      <c r="A96" s="374"/>
      <c r="B96" s="20"/>
      <c r="C96" s="3"/>
      <c r="D96" s="3"/>
      <c r="E96" s="3"/>
      <c r="F96" s="19"/>
      <c r="G96" s="374"/>
    </row>
    <row r="97" spans="1:12" x14ac:dyDescent="0.25">
      <c r="A97" s="374"/>
      <c r="B97" s="44" t="s">
        <v>107</v>
      </c>
      <c r="C97" s="45"/>
      <c r="D97" s="45"/>
      <c r="E97" s="45"/>
      <c r="F97" s="46"/>
      <c r="G97" s="374"/>
    </row>
    <row r="98" spans="1:12" x14ac:dyDescent="0.25">
      <c r="A98" s="374"/>
      <c r="B98" s="18"/>
      <c r="C98" s="3"/>
      <c r="D98" s="3"/>
      <c r="E98" s="3"/>
      <c r="F98" s="19"/>
      <c r="G98" s="374"/>
    </row>
    <row r="99" spans="1:12" x14ac:dyDescent="0.25">
      <c r="A99" s="374"/>
      <c r="B99" s="13" t="s">
        <v>108</v>
      </c>
      <c r="C99" s="2"/>
      <c r="D99" s="2"/>
      <c r="E99" s="2"/>
      <c r="F99" s="14"/>
      <c r="G99" s="374"/>
    </row>
    <row r="100" spans="1:12" x14ac:dyDescent="0.25">
      <c r="A100" s="374"/>
      <c r="B100" s="20"/>
      <c r="C100" s="3" t="s">
        <v>109</v>
      </c>
      <c r="D100" s="4">
        <f>'FY2020 March Account'!F100</f>
        <v>0</v>
      </c>
      <c r="E100" s="4">
        <f>SUMIFS(TraFY2020Apr[[ Amount]],TraFY2020Apr[[ Acct Desc]], "*(5.1.1)*")</f>
        <v>0</v>
      </c>
      <c r="F100" s="15">
        <f t="shared" ref="F100" si="7">(D100-E100)</f>
        <v>0</v>
      </c>
      <c r="G100" s="374"/>
    </row>
    <row r="101" spans="1:12" x14ac:dyDescent="0.25">
      <c r="A101" s="374"/>
      <c r="B101" s="16" t="s">
        <v>110</v>
      </c>
      <c r="C101" s="2"/>
      <c r="D101" s="5">
        <f>'FY2020 March Account'!F101</f>
        <v>0</v>
      </c>
      <c r="E101" s="6">
        <f>SUM(E100:E100)</f>
        <v>0</v>
      </c>
      <c r="F101" s="21">
        <f>(D101-E101)</f>
        <v>0</v>
      </c>
      <c r="G101" s="374"/>
    </row>
    <row r="102" spans="1:12" x14ac:dyDescent="0.25">
      <c r="A102" s="374"/>
      <c r="B102" s="20"/>
      <c r="C102" s="3"/>
      <c r="D102" s="3"/>
      <c r="E102" s="3"/>
      <c r="F102" s="19"/>
      <c r="G102" s="374"/>
    </row>
    <row r="103" spans="1:12" x14ac:dyDescent="0.25">
      <c r="A103" s="374"/>
      <c r="B103" s="13" t="s">
        <v>111</v>
      </c>
      <c r="C103" s="2"/>
      <c r="D103" s="2"/>
      <c r="E103" s="2"/>
      <c r="F103" s="14"/>
      <c r="G103" s="374"/>
    </row>
    <row r="104" spans="1:12" x14ac:dyDescent="0.25">
      <c r="A104" s="374"/>
      <c r="B104" s="20"/>
      <c r="C104" s="3" t="s">
        <v>112</v>
      </c>
      <c r="D104" s="4">
        <f>'FY2020 March Account'!F104</f>
        <v>0</v>
      </c>
      <c r="E104" s="4">
        <f>SUMIFS(TraFY2020Apr[[ Amount]],TraFY2020Apr[[ Acct Desc]], "*(5.2.1)*")</f>
        <v>0</v>
      </c>
      <c r="F104" s="15">
        <f t="shared" ref="F104:F105" si="8">(D104-E104)</f>
        <v>0</v>
      </c>
      <c r="G104" s="374"/>
    </row>
    <row r="105" spans="1:12" x14ac:dyDescent="0.25">
      <c r="A105" s="374"/>
      <c r="B105" s="20"/>
      <c r="C105" s="3" t="s">
        <v>1992</v>
      </c>
      <c r="D105" s="4">
        <f>'FY2020 March Account'!F105</f>
        <v>0</v>
      </c>
      <c r="E105" s="4">
        <f>SUMIFS(TraFY2020Apr[[ Amount]],TraFY2020Apr[[ Acct Desc]], "*(5.2.2)*")</f>
        <v>0</v>
      </c>
      <c r="F105" s="15">
        <f t="shared" si="8"/>
        <v>0</v>
      </c>
      <c r="G105" s="374"/>
    </row>
    <row r="106" spans="1:12" x14ac:dyDescent="0.25">
      <c r="A106" s="374"/>
      <c r="B106" s="16" t="s">
        <v>113</v>
      </c>
      <c r="C106" s="2"/>
      <c r="D106" s="5">
        <f>'FY2020 March Account'!F106</f>
        <v>0</v>
      </c>
      <c r="E106" s="6">
        <f>SUM(E104:E105)</f>
        <v>0</v>
      </c>
      <c r="F106" s="21">
        <f>(D106-E106)</f>
        <v>0</v>
      </c>
      <c r="G106" s="374"/>
    </row>
    <row r="107" spans="1:12" x14ac:dyDescent="0.25">
      <c r="A107" s="374"/>
      <c r="B107" s="22"/>
      <c r="C107" s="3"/>
      <c r="D107" s="3"/>
      <c r="E107" s="3"/>
      <c r="F107" s="19"/>
      <c r="G107" s="374"/>
    </row>
    <row r="108" spans="1:12" x14ac:dyDescent="0.25">
      <c r="A108" s="374"/>
      <c r="B108" s="13" t="s">
        <v>114</v>
      </c>
      <c r="C108" s="2"/>
      <c r="D108" s="2"/>
      <c r="E108" s="2"/>
      <c r="F108" s="14"/>
      <c r="G108" s="374"/>
    </row>
    <row r="109" spans="1:12" x14ac:dyDescent="0.25">
      <c r="A109" s="374"/>
      <c r="B109" s="20"/>
      <c r="C109" s="3" t="s">
        <v>115</v>
      </c>
      <c r="D109" s="4">
        <f>'FY2020 March Account'!F109</f>
        <v>-53465.729999999996</v>
      </c>
      <c r="E109" s="4">
        <f>SUM('FY2020 April Transactions'!E5,'FY2020 April Transactions'!E2)</f>
        <v>-65000</v>
      </c>
      <c r="F109" s="15">
        <f t="shared" ref="F109" si="9">(D109-E109)</f>
        <v>11534.270000000004</v>
      </c>
      <c r="G109" s="374"/>
      <c r="L109" s="93"/>
    </row>
    <row r="110" spans="1:12" x14ac:dyDescent="0.25">
      <c r="A110" s="374"/>
      <c r="B110" s="16" t="s">
        <v>116</v>
      </c>
      <c r="C110" s="2"/>
      <c r="D110" s="5">
        <f>'FY2020 March Account'!F110</f>
        <v>-53465.729999999996</v>
      </c>
      <c r="E110" s="6">
        <f>SUM(E109:E109)</f>
        <v>-65000</v>
      </c>
      <c r="F110" s="21">
        <f>(D110-E110)</f>
        <v>11534.270000000004</v>
      </c>
      <c r="G110" s="374"/>
    </row>
    <row r="111" spans="1:12" x14ac:dyDescent="0.25">
      <c r="A111" s="374"/>
      <c r="B111" s="20"/>
      <c r="C111" s="3"/>
      <c r="D111" s="3"/>
      <c r="E111" s="3"/>
      <c r="F111" s="19"/>
      <c r="G111" s="374"/>
    </row>
    <row r="112" spans="1:12" x14ac:dyDescent="0.25">
      <c r="A112" s="374"/>
      <c r="B112" s="13" t="s">
        <v>117</v>
      </c>
      <c r="C112" s="2"/>
      <c r="D112" s="2"/>
      <c r="E112" s="2"/>
      <c r="F112" s="14"/>
      <c r="G112" s="374"/>
    </row>
    <row r="113" spans="1:11" x14ac:dyDescent="0.25">
      <c r="A113" s="374"/>
      <c r="B113" s="20"/>
      <c r="C113" s="3" t="s">
        <v>118</v>
      </c>
      <c r="D113" s="4">
        <f>'FY2020 March Account'!F113</f>
        <v>0</v>
      </c>
      <c r="E113" s="4"/>
      <c r="F113" s="15">
        <f t="shared" ref="F113:F115" si="10">(D113-E113)</f>
        <v>0</v>
      </c>
      <c r="G113" s="374"/>
    </row>
    <row r="114" spans="1:11" x14ac:dyDescent="0.25">
      <c r="A114" s="374"/>
      <c r="B114" s="20"/>
      <c r="C114" s="3" t="s">
        <v>119</v>
      </c>
      <c r="D114" s="4">
        <f>'FY2020 March Account'!F114</f>
        <v>0</v>
      </c>
      <c r="E114" s="4">
        <f>SUMIFS(TraFY2020Apr[[ Amount]],TraFY2020Apr[[ Acct Desc]], "*(5.4.2)*")</f>
        <v>0</v>
      </c>
      <c r="F114" s="15">
        <f t="shared" si="10"/>
        <v>0</v>
      </c>
      <c r="G114" s="374"/>
    </row>
    <row r="115" spans="1:11" x14ac:dyDescent="0.25">
      <c r="A115" s="374"/>
      <c r="B115" s="20"/>
      <c r="C115" s="3" t="s">
        <v>120</v>
      </c>
      <c r="D115" s="4">
        <f>'FY2020 March Account'!F115</f>
        <v>705</v>
      </c>
      <c r="E115" s="4">
        <f>'FY2020 April Transactions'!E4</f>
        <v>705</v>
      </c>
      <c r="F115" s="15">
        <f t="shared" si="10"/>
        <v>0</v>
      </c>
      <c r="G115" s="374"/>
    </row>
    <row r="116" spans="1:11" x14ac:dyDescent="0.25">
      <c r="A116" s="374"/>
      <c r="B116" s="16" t="s">
        <v>121</v>
      </c>
      <c r="C116" s="2"/>
      <c r="D116" s="5">
        <f>'FY2020 March Account'!F116</f>
        <v>705</v>
      </c>
      <c r="E116" s="6">
        <f>SUM(E113:E115)</f>
        <v>705</v>
      </c>
      <c r="F116" s="21">
        <f>(D116-E116)</f>
        <v>0</v>
      </c>
      <c r="G116" s="374"/>
    </row>
    <row r="117" spans="1:11" x14ac:dyDescent="0.25">
      <c r="A117" s="374"/>
      <c r="B117" s="20"/>
      <c r="C117" s="3"/>
      <c r="D117" s="3"/>
      <c r="E117" s="3"/>
      <c r="F117" s="19"/>
      <c r="G117" s="374"/>
    </row>
    <row r="118" spans="1:11" x14ac:dyDescent="0.25">
      <c r="A118" s="374"/>
      <c r="B118" s="47" t="s">
        <v>167</v>
      </c>
      <c r="C118" s="48"/>
      <c r="D118" s="49">
        <f>'FY2020 March Account'!F118</f>
        <v>-52760.729999999996</v>
      </c>
      <c r="E118" s="49">
        <f>SUM(E101, E106, E110, E116)</f>
        <v>-64295</v>
      </c>
      <c r="F118" s="50">
        <f>(D118-E118)</f>
        <v>11534.270000000004</v>
      </c>
      <c r="G118" s="374"/>
    </row>
    <row r="119" spans="1:11" x14ac:dyDescent="0.25">
      <c r="A119" s="374"/>
      <c r="B119" s="20"/>
      <c r="C119" s="3"/>
      <c r="D119" s="3"/>
      <c r="E119" s="3"/>
      <c r="F119" s="19"/>
      <c r="G119" s="374"/>
    </row>
    <row r="120" spans="1:11" x14ac:dyDescent="0.25">
      <c r="A120" s="374"/>
      <c r="B120" s="38" t="s">
        <v>131</v>
      </c>
      <c r="C120" s="39"/>
      <c r="D120" s="39"/>
      <c r="E120" s="39"/>
      <c r="F120" s="40"/>
      <c r="G120" s="374"/>
    </row>
    <row r="121" spans="1:11" x14ac:dyDescent="0.25">
      <c r="A121" s="374"/>
      <c r="B121" s="18"/>
      <c r="C121" s="3"/>
      <c r="D121" s="3"/>
      <c r="E121" s="3"/>
      <c r="F121" s="19"/>
      <c r="G121" s="374"/>
    </row>
    <row r="122" spans="1:11" x14ac:dyDescent="0.25">
      <c r="A122" s="374"/>
      <c r="B122" s="13" t="s">
        <v>122</v>
      </c>
      <c r="C122" s="2"/>
      <c r="D122" s="2"/>
      <c r="E122" s="2"/>
      <c r="F122" s="14"/>
      <c r="G122" s="374"/>
    </row>
    <row r="123" spans="1:11" x14ac:dyDescent="0.25">
      <c r="A123" s="374"/>
      <c r="B123" s="20"/>
      <c r="C123" s="3" t="s">
        <v>123</v>
      </c>
      <c r="D123" s="4">
        <f>'FY2020 March Account'!F123</f>
        <v>9201.1000000000022</v>
      </c>
      <c r="E123" s="4">
        <f>SUMIFS(TraFY2020Apr[[ Amount]],TraFY2020Apr[[ Acct Desc]], "Fiscal Agent*")</f>
        <v>0</v>
      </c>
      <c r="F123" s="15">
        <f t="shared" ref="F123" si="11">(D123-E123)</f>
        <v>9201.1000000000022</v>
      </c>
      <c r="G123" s="374"/>
    </row>
    <row r="124" spans="1:11" x14ac:dyDescent="0.25">
      <c r="A124" s="374"/>
      <c r="B124" s="16" t="s">
        <v>124</v>
      </c>
      <c r="C124" s="2"/>
      <c r="D124" s="5">
        <f>'FY2020 March Account'!F124</f>
        <v>9201.1000000000022</v>
      </c>
      <c r="E124" s="6">
        <f>SUM(E123:E123)</f>
        <v>0</v>
      </c>
      <c r="F124" s="21">
        <f>(D124-E124)</f>
        <v>9201.1000000000022</v>
      </c>
      <c r="G124" s="374"/>
    </row>
    <row r="125" spans="1:11" x14ac:dyDescent="0.25">
      <c r="A125" s="374"/>
      <c r="B125" s="20"/>
      <c r="C125" s="3"/>
      <c r="D125" s="3"/>
      <c r="E125" s="3"/>
      <c r="F125" s="19"/>
      <c r="G125" s="374"/>
    </row>
    <row r="126" spans="1:11" x14ac:dyDescent="0.25">
      <c r="A126" s="374"/>
      <c r="B126" s="37" t="s">
        <v>125</v>
      </c>
      <c r="C126" s="41"/>
      <c r="D126" s="42">
        <f>'FY2020 March Account'!F126</f>
        <v>9201.1000000000022</v>
      </c>
      <c r="E126" s="42">
        <f>SUM(E124)</f>
        <v>0</v>
      </c>
      <c r="F126" s="43">
        <f>(D126-E126)</f>
        <v>9201.1000000000022</v>
      </c>
      <c r="G126" s="374"/>
    </row>
    <row r="127" spans="1:11" x14ac:dyDescent="0.25">
      <c r="A127" s="374"/>
      <c r="B127" s="23"/>
      <c r="C127" s="7"/>
      <c r="D127" s="7"/>
      <c r="E127" s="7"/>
      <c r="F127" s="24"/>
      <c r="G127" s="374"/>
    </row>
    <row r="128" spans="1:11" x14ac:dyDescent="0.25">
      <c r="A128" s="374"/>
      <c r="B128" s="23"/>
      <c r="C128" s="7"/>
      <c r="D128" s="7"/>
      <c r="E128" s="7"/>
      <c r="F128" s="24"/>
      <c r="G128" s="374"/>
      <c r="K128" s="93"/>
    </row>
    <row r="129" spans="1:7" ht="15.75" x14ac:dyDescent="0.25">
      <c r="A129" s="374"/>
      <c r="B129" s="25" t="s">
        <v>2631</v>
      </c>
      <c r="C129" s="8"/>
      <c r="D129" s="9"/>
      <c r="E129" s="10">
        <f>SUM(E34)</f>
        <v>0</v>
      </c>
      <c r="F129" s="26"/>
      <c r="G129" s="374"/>
    </row>
    <row r="130" spans="1:7" ht="15.75" x14ac:dyDescent="0.25">
      <c r="A130" s="374"/>
      <c r="B130" s="25" t="s">
        <v>2632</v>
      </c>
      <c r="C130" s="8"/>
      <c r="D130" s="9"/>
      <c r="E130" s="10">
        <f>SUM(E64, E79, E95,E118, E126)</f>
        <v>-64163</v>
      </c>
      <c r="F130" s="26"/>
      <c r="G130" s="374"/>
    </row>
    <row r="131" spans="1:7" ht="16.5" thickBot="1" x14ac:dyDescent="0.3">
      <c r="A131" s="374"/>
      <c r="B131" s="27" t="s">
        <v>2633</v>
      </c>
      <c r="C131" s="28"/>
      <c r="D131" s="29"/>
      <c r="E131" s="30">
        <f>(E129-E130)</f>
        <v>64163</v>
      </c>
      <c r="F131" s="31"/>
      <c r="G131" s="374"/>
    </row>
    <row r="132" spans="1:7" x14ac:dyDescent="0.25">
      <c r="A132" s="371" t="b">
        <f>IF(($E$129+$E$130)=(SUM('FY2020 April Transactions'!E:E)),TRUE,FALSE)</f>
        <v>1</v>
      </c>
      <c r="B132" s="372"/>
      <c r="C132" s="372"/>
      <c r="D132" s="372"/>
      <c r="E132" s="372"/>
      <c r="F132" s="372"/>
      <c r="G132" s="373"/>
    </row>
    <row r="133" spans="1:7" x14ac:dyDescent="0.25">
      <c r="F133" s="93"/>
    </row>
    <row r="134" spans="1:7" x14ac:dyDescent="0.25">
      <c r="C134" s="93"/>
    </row>
    <row r="135" spans="1:7" x14ac:dyDescent="0.25">
      <c r="E135" s="93"/>
    </row>
    <row r="138" spans="1:7" x14ac:dyDescent="0.25">
      <c r="E138" s="93"/>
    </row>
  </sheetData>
  <mergeCells count="7">
    <mergeCell ref="A132:G132"/>
    <mergeCell ref="A1:G1"/>
    <mergeCell ref="A2:A131"/>
    <mergeCell ref="B2:F3"/>
    <mergeCell ref="G2:G131"/>
    <mergeCell ref="B6:F6"/>
    <mergeCell ref="B36:F36"/>
  </mergeCells>
  <conditionalFormatting sqref="A2:A91 G2:G91 G93:G104 A93:A104 A106:A131 G106:G131">
    <cfRule type="cellIs" dxfId="537" priority="10" operator="equal">
      <formula>FALSE</formula>
    </cfRule>
  </conditionalFormatting>
  <conditionalFormatting sqref="G2:G91 A2:A91 A93:A104 G93:G104 G106:G131 A106:A131">
    <cfRule type="cellIs" dxfId="536" priority="9" operator="equal">
      <formula>TRUE</formula>
    </cfRule>
  </conditionalFormatting>
  <conditionalFormatting sqref="A92 G92">
    <cfRule type="cellIs" dxfId="535" priority="8" operator="equal">
      <formula>FALSE</formula>
    </cfRule>
  </conditionalFormatting>
  <conditionalFormatting sqref="G92 A92">
    <cfRule type="cellIs" dxfId="534" priority="7" operator="equal">
      <formula>TRUE</formula>
    </cfRule>
  </conditionalFormatting>
  <conditionalFormatting sqref="A105 G105">
    <cfRule type="cellIs" dxfId="533" priority="6" operator="equal">
      <formula>FALSE</formula>
    </cfRule>
  </conditionalFormatting>
  <conditionalFormatting sqref="G105 A105">
    <cfRule type="cellIs" dxfId="532" priority="5" operator="equal">
      <formula>TRUE</formula>
    </cfRule>
  </conditionalFormatting>
  <conditionalFormatting sqref="A1">
    <cfRule type="cellIs" dxfId="531" priority="4" operator="equal">
      <formula>TRUE</formula>
    </cfRule>
  </conditionalFormatting>
  <conditionalFormatting sqref="A1">
    <cfRule type="cellIs" dxfId="530" priority="3" operator="equal">
      <formula>FALSE</formula>
    </cfRule>
  </conditionalFormatting>
  <conditionalFormatting sqref="A132">
    <cfRule type="cellIs" dxfId="529" priority="2" operator="equal">
      <formula>TRUE</formula>
    </cfRule>
  </conditionalFormatting>
  <conditionalFormatting sqref="A132">
    <cfRule type="cellIs" dxfId="528" priority="1" operator="equal">
      <formula>FALSE</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8F958-A6A6-48C1-BBF7-9DAA6062AC42}">
  <dimension ref="A1:F51"/>
  <sheetViews>
    <sheetView workbookViewId="0">
      <selection activeCell="D18" sqref="D18"/>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558921</v>
      </c>
      <c r="B2" s="35" t="s">
        <v>262</v>
      </c>
      <c r="C2" s="35" t="s">
        <v>713</v>
      </c>
      <c r="D2" s="35" t="s">
        <v>830</v>
      </c>
      <c r="E2" s="35">
        <v>381.25</v>
      </c>
      <c r="F2" s="34">
        <v>42950</v>
      </c>
    </row>
    <row r="3" spans="1:6" ht="15.75" x14ac:dyDescent="0.25">
      <c r="A3" s="35">
        <v>487110</v>
      </c>
      <c r="B3" s="35" t="s">
        <v>36</v>
      </c>
      <c r="C3" s="35" t="s">
        <v>831</v>
      </c>
      <c r="D3" s="35" t="s">
        <v>832</v>
      </c>
      <c r="E3" s="35">
        <v>2397.0500000000002</v>
      </c>
      <c r="F3" s="34">
        <v>42951</v>
      </c>
    </row>
    <row r="4" spans="1:6" ht="15.75" x14ac:dyDescent="0.25">
      <c r="A4" s="35">
        <v>558921</v>
      </c>
      <c r="B4" s="35" t="s">
        <v>262</v>
      </c>
      <c r="C4" s="35" t="s">
        <v>713</v>
      </c>
      <c r="D4" s="35" t="s">
        <v>833</v>
      </c>
      <c r="E4" s="35">
        <v>82.43</v>
      </c>
      <c r="F4" s="34">
        <v>42954</v>
      </c>
    </row>
    <row r="5" spans="1:6" ht="15.75" x14ac:dyDescent="0.25">
      <c r="A5" s="35">
        <v>487110</v>
      </c>
      <c r="B5" s="35" t="s">
        <v>36</v>
      </c>
      <c r="C5" s="35" t="s">
        <v>834</v>
      </c>
      <c r="D5" s="35" t="s">
        <v>835</v>
      </c>
      <c r="E5" s="35">
        <v>6787.15</v>
      </c>
      <c r="F5" s="34">
        <v>42956</v>
      </c>
    </row>
    <row r="6" spans="1:6" ht="15.75" x14ac:dyDescent="0.25">
      <c r="A6" s="35">
        <v>487110</v>
      </c>
      <c r="B6" s="35" t="s">
        <v>36</v>
      </c>
      <c r="C6" s="35" t="s">
        <v>836</v>
      </c>
      <c r="D6" s="35" t="s">
        <v>837</v>
      </c>
      <c r="E6" s="35">
        <v>3366.97</v>
      </c>
      <c r="F6" s="34">
        <v>42957</v>
      </c>
    </row>
    <row r="7" spans="1:6" ht="15.75" x14ac:dyDescent="0.25">
      <c r="A7" s="35">
        <v>487110</v>
      </c>
      <c r="B7" s="35" t="s">
        <v>36</v>
      </c>
      <c r="C7" s="35" t="s">
        <v>838</v>
      </c>
      <c r="D7" s="35" t="s">
        <v>839</v>
      </c>
      <c r="E7" s="35">
        <v>1871.25</v>
      </c>
      <c r="F7" s="34">
        <v>42958</v>
      </c>
    </row>
    <row r="8" spans="1:6" ht="15.75" x14ac:dyDescent="0.25">
      <c r="A8" s="35">
        <v>522928</v>
      </c>
      <c r="B8" s="35" t="s">
        <v>211</v>
      </c>
      <c r="C8" s="35" t="s">
        <v>144</v>
      </c>
      <c r="D8" s="35" t="s">
        <v>840</v>
      </c>
      <c r="E8" s="35">
        <v>-700</v>
      </c>
      <c r="F8" s="34">
        <v>42961</v>
      </c>
    </row>
    <row r="9" spans="1:6" ht="15.75" x14ac:dyDescent="0.25">
      <c r="A9" s="35">
        <v>587890</v>
      </c>
      <c r="B9" s="35" t="s">
        <v>32</v>
      </c>
      <c r="C9" s="35" t="s">
        <v>144</v>
      </c>
      <c r="D9" s="35" t="s">
        <v>841</v>
      </c>
      <c r="E9" s="35">
        <v>-300</v>
      </c>
      <c r="F9" s="34">
        <v>42961</v>
      </c>
    </row>
    <row r="10" spans="1:6" ht="15.75" x14ac:dyDescent="0.25">
      <c r="A10" s="35">
        <v>531110</v>
      </c>
      <c r="B10" s="35" t="s">
        <v>27</v>
      </c>
      <c r="C10" s="35" t="s">
        <v>142</v>
      </c>
      <c r="D10" s="35">
        <v>2000003570</v>
      </c>
      <c r="E10" s="35">
        <v>-21.16</v>
      </c>
      <c r="F10" s="34">
        <v>42961</v>
      </c>
    </row>
    <row r="11" spans="1:6" ht="15.75" x14ac:dyDescent="0.25">
      <c r="A11" s="35">
        <v>531110</v>
      </c>
      <c r="B11" s="35" t="s">
        <v>27</v>
      </c>
      <c r="C11" s="35" t="s">
        <v>142</v>
      </c>
      <c r="D11" s="35">
        <v>2000003567</v>
      </c>
      <c r="E11" s="35">
        <v>-21.16</v>
      </c>
      <c r="F11" s="34">
        <v>42961</v>
      </c>
    </row>
    <row r="12" spans="1:6" ht="15.75" x14ac:dyDescent="0.25">
      <c r="A12" s="35">
        <v>531110</v>
      </c>
      <c r="B12" s="35" t="s">
        <v>27</v>
      </c>
      <c r="C12" s="35" t="s">
        <v>142</v>
      </c>
      <c r="D12" s="35">
        <v>2000003570</v>
      </c>
      <c r="E12" s="35">
        <v>-21.16</v>
      </c>
      <c r="F12" s="34">
        <v>42961</v>
      </c>
    </row>
    <row r="13" spans="1:6" ht="15.75" x14ac:dyDescent="0.25">
      <c r="A13" s="35">
        <v>531110</v>
      </c>
      <c r="B13" s="35" t="s">
        <v>27</v>
      </c>
      <c r="C13" s="35" t="s">
        <v>142</v>
      </c>
      <c r="D13" s="35">
        <v>2000003567</v>
      </c>
      <c r="E13" s="35">
        <v>-21.16</v>
      </c>
      <c r="F13" s="34">
        <v>42961</v>
      </c>
    </row>
    <row r="14" spans="1:6" ht="15.75" x14ac:dyDescent="0.25">
      <c r="A14" s="35">
        <v>531220</v>
      </c>
      <c r="B14" s="35" t="s">
        <v>842</v>
      </c>
      <c r="C14" s="35" t="s">
        <v>843</v>
      </c>
      <c r="D14" s="35">
        <v>2000003572</v>
      </c>
      <c r="E14" s="35">
        <v>-299</v>
      </c>
      <c r="F14" s="34">
        <v>42962</v>
      </c>
    </row>
    <row r="15" spans="1:6" ht="15.75" x14ac:dyDescent="0.25">
      <c r="A15" s="35">
        <v>487110</v>
      </c>
      <c r="B15" s="35" t="s">
        <v>36</v>
      </c>
      <c r="C15" s="35" t="s">
        <v>844</v>
      </c>
      <c r="D15" s="35" t="s">
        <v>845</v>
      </c>
      <c r="E15" s="35">
        <v>710.05</v>
      </c>
      <c r="F15" s="34">
        <v>42962</v>
      </c>
    </row>
    <row r="16" spans="1:6" ht="15.75" x14ac:dyDescent="0.25">
      <c r="A16" s="35">
        <v>487110</v>
      </c>
      <c r="B16" s="35" t="s">
        <v>36</v>
      </c>
      <c r="C16" s="35" t="s">
        <v>846</v>
      </c>
      <c r="D16" s="35" t="s">
        <v>847</v>
      </c>
      <c r="E16" s="35">
        <v>3413.23</v>
      </c>
      <c r="F16" s="34">
        <v>42963</v>
      </c>
    </row>
    <row r="17" spans="1:6" ht="15.75" x14ac:dyDescent="0.25">
      <c r="A17" s="35">
        <v>487110</v>
      </c>
      <c r="B17" s="35" t="s">
        <v>36</v>
      </c>
      <c r="C17" s="35" t="s">
        <v>848</v>
      </c>
      <c r="D17" s="35" t="s">
        <v>849</v>
      </c>
      <c r="E17" s="35">
        <v>3540.82</v>
      </c>
      <c r="F17" s="34">
        <v>42963</v>
      </c>
    </row>
    <row r="18" spans="1:6" ht="15.75" x14ac:dyDescent="0.25">
      <c r="A18" s="35">
        <v>487110</v>
      </c>
      <c r="B18" s="35" t="s">
        <v>36</v>
      </c>
      <c r="C18" s="35" t="s">
        <v>850</v>
      </c>
      <c r="D18" s="35" t="s">
        <v>851</v>
      </c>
      <c r="E18" s="35">
        <v>996.07</v>
      </c>
      <c r="F18" s="34">
        <v>42964</v>
      </c>
    </row>
    <row r="19" spans="1:6" ht="15.75" x14ac:dyDescent="0.25">
      <c r="A19" s="35">
        <v>558979</v>
      </c>
      <c r="B19" s="35" t="s">
        <v>150</v>
      </c>
      <c r="C19" s="35" t="s">
        <v>781</v>
      </c>
      <c r="D19" s="35" t="s">
        <v>852</v>
      </c>
      <c r="E19" s="35">
        <v>200</v>
      </c>
      <c r="F19" s="34">
        <v>42965</v>
      </c>
    </row>
    <row r="20" spans="1:6" ht="15.75" x14ac:dyDescent="0.25">
      <c r="A20" s="35">
        <v>558979</v>
      </c>
      <c r="B20" s="35" t="s">
        <v>150</v>
      </c>
      <c r="C20" s="35" t="s">
        <v>853</v>
      </c>
      <c r="D20" s="35" t="s">
        <v>854</v>
      </c>
      <c r="E20" s="35">
        <v>200</v>
      </c>
      <c r="F20" s="34">
        <v>42965</v>
      </c>
    </row>
    <row r="21" spans="1:6" ht="15.75" x14ac:dyDescent="0.25">
      <c r="A21" s="35">
        <v>558979</v>
      </c>
      <c r="B21" s="35" t="s">
        <v>150</v>
      </c>
      <c r="C21" s="35" t="s">
        <v>767</v>
      </c>
      <c r="D21" s="35" t="s">
        <v>855</v>
      </c>
      <c r="E21" s="35">
        <v>200</v>
      </c>
      <c r="F21" s="34">
        <v>42965</v>
      </c>
    </row>
    <row r="22" spans="1:6" ht="15.75" x14ac:dyDescent="0.25">
      <c r="A22" s="35">
        <v>558979</v>
      </c>
      <c r="B22" s="35" t="s">
        <v>150</v>
      </c>
      <c r="C22" s="35" t="s">
        <v>783</v>
      </c>
      <c r="D22" s="35" t="s">
        <v>856</v>
      </c>
      <c r="E22" s="35">
        <v>200</v>
      </c>
      <c r="F22" s="34">
        <v>42965</v>
      </c>
    </row>
    <row r="23" spans="1:6" ht="15.75" x14ac:dyDescent="0.25">
      <c r="A23" s="35">
        <v>558979</v>
      </c>
      <c r="B23" s="35" t="s">
        <v>150</v>
      </c>
      <c r="C23" s="35" t="s">
        <v>787</v>
      </c>
      <c r="D23" s="35" t="s">
        <v>857</v>
      </c>
      <c r="E23" s="35">
        <v>225</v>
      </c>
      <c r="F23" s="34">
        <v>42965</v>
      </c>
    </row>
    <row r="24" spans="1:6" ht="15.75" x14ac:dyDescent="0.25">
      <c r="A24" s="35">
        <v>487110</v>
      </c>
      <c r="B24" s="35" t="s">
        <v>36</v>
      </c>
      <c r="C24" s="35" t="s">
        <v>858</v>
      </c>
      <c r="D24" s="35" t="s">
        <v>859</v>
      </c>
      <c r="E24" s="35">
        <v>268.72000000000003</v>
      </c>
      <c r="F24" s="34">
        <v>42965</v>
      </c>
    </row>
    <row r="25" spans="1:6" ht="15.75" x14ac:dyDescent="0.25">
      <c r="A25" s="35">
        <v>487110</v>
      </c>
      <c r="B25" s="35" t="s">
        <v>36</v>
      </c>
      <c r="C25" s="35" t="s">
        <v>860</v>
      </c>
      <c r="D25" s="35" t="s">
        <v>861</v>
      </c>
      <c r="E25" s="35">
        <v>370.61</v>
      </c>
      <c r="F25" s="34">
        <v>42965</v>
      </c>
    </row>
    <row r="26" spans="1:6" ht="15.75" x14ac:dyDescent="0.25">
      <c r="A26" s="35">
        <v>558979</v>
      </c>
      <c r="B26" s="35" t="s">
        <v>150</v>
      </c>
      <c r="C26" s="35" t="s">
        <v>342</v>
      </c>
      <c r="D26" s="35" t="s">
        <v>862</v>
      </c>
      <c r="E26" s="35">
        <v>400</v>
      </c>
      <c r="F26" s="34">
        <v>42965</v>
      </c>
    </row>
    <row r="27" spans="1:6" ht="15.75" x14ac:dyDescent="0.25">
      <c r="A27" s="35">
        <v>558979</v>
      </c>
      <c r="B27" s="35" t="s">
        <v>150</v>
      </c>
      <c r="C27" s="35" t="s">
        <v>232</v>
      </c>
      <c r="D27" s="35" t="s">
        <v>863</v>
      </c>
      <c r="E27" s="35">
        <v>650</v>
      </c>
      <c r="F27" s="34">
        <v>42965</v>
      </c>
    </row>
    <row r="28" spans="1:6" ht="15.75" x14ac:dyDescent="0.25">
      <c r="A28" s="35">
        <v>487110</v>
      </c>
      <c r="B28" s="35" t="s">
        <v>36</v>
      </c>
      <c r="C28" s="35" t="s">
        <v>864</v>
      </c>
      <c r="D28" s="35" t="s">
        <v>865</v>
      </c>
      <c r="E28" s="35">
        <v>934</v>
      </c>
      <c r="F28" s="34">
        <v>42965</v>
      </c>
    </row>
    <row r="29" spans="1:6" ht="15.75" x14ac:dyDescent="0.25">
      <c r="A29" s="35">
        <v>531110</v>
      </c>
      <c r="B29" s="35" t="s">
        <v>27</v>
      </c>
      <c r="C29" s="35" t="s">
        <v>142</v>
      </c>
      <c r="D29" s="35" t="s">
        <v>866</v>
      </c>
      <c r="E29" s="35">
        <v>-23.92</v>
      </c>
      <c r="F29" s="34">
        <v>42968</v>
      </c>
    </row>
    <row r="30" spans="1:6" ht="15.75" x14ac:dyDescent="0.25">
      <c r="A30" s="35">
        <v>531110</v>
      </c>
      <c r="B30" s="35" t="s">
        <v>27</v>
      </c>
      <c r="C30" s="35" t="s">
        <v>142</v>
      </c>
      <c r="D30" s="35" t="s">
        <v>866</v>
      </c>
      <c r="E30" s="35">
        <v>27.79</v>
      </c>
      <c r="F30" s="34">
        <v>42968</v>
      </c>
    </row>
    <row r="31" spans="1:6" ht="15.75" x14ac:dyDescent="0.25">
      <c r="A31" s="35">
        <v>531220</v>
      </c>
      <c r="B31" s="35" t="s">
        <v>842</v>
      </c>
      <c r="C31" s="35" t="s">
        <v>843</v>
      </c>
      <c r="D31" s="35" t="s">
        <v>867</v>
      </c>
      <c r="E31" s="35">
        <v>-299</v>
      </c>
      <c r="F31" s="34">
        <v>42969</v>
      </c>
    </row>
    <row r="32" spans="1:6" ht="15.75" x14ac:dyDescent="0.25">
      <c r="A32" s="35">
        <v>531220</v>
      </c>
      <c r="B32" s="35" t="s">
        <v>842</v>
      </c>
      <c r="C32" s="35" t="s">
        <v>843</v>
      </c>
      <c r="D32" s="35" t="s">
        <v>867</v>
      </c>
      <c r="E32" s="35">
        <v>299</v>
      </c>
      <c r="F32" s="34">
        <v>42969</v>
      </c>
    </row>
    <row r="33" spans="1:6" ht="15.75" x14ac:dyDescent="0.25">
      <c r="A33" s="35">
        <v>527120</v>
      </c>
      <c r="B33" s="35" t="s">
        <v>143</v>
      </c>
      <c r="C33" s="35" t="s">
        <v>144</v>
      </c>
      <c r="D33" s="35" t="s">
        <v>868</v>
      </c>
      <c r="E33" s="35">
        <v>14.5</v>
      </c>
      <c r="F33" s="34">
        <v>42971</v>
      </c>
    </row>
    <row r="34" spans="1:6" ht="15.75" x14ac:dyDescent="0.25">
      <c r="A34" s="35">
        <v>526120</v>
      </c>
      <c r="B34" s="35" t="s">
        <v>217</v>
      </c>
      <c r="C34" s="35" t="s">
        <v>178</v>
      </c>
      <c r="D34" s="35" t="s">
        <v>869</v>
      </c>
      <c r="E34" s="35">
        <v>57.25</v>
      </c>
      <c r="F34" s="34">
        <v>42971</v>
      </c>
    </row>
    <row r="35" spans="1:6" ht="15.75" x14ac:dyDescent="0.25">
      <c r="A35" s="35">
        <v>526120</v>
      </c>
      <c r="B35" s="35" t="s">
        <v>217</v>
      </c>
      <c r="C35" s="35" t="s">
        <v>178</v>
      </c>
      <c r="D35" s="35" t="s">
        <v>870</v>
      </c>
      <c r="E35" s="35">
        <v>84.44</v>
      </c>
      <c r="F35" s="34">
        <v>42971</v>
      </c>
    </row>
    <row r="36" spans="1:6" ht="15.75" x14ac:dyDescent="0.25">
      <c r="A36" s="35">
        <v>487110</v>
      </c>
      <c r="B36" s="35" t="s">
        <v>36</v>
      </c>
      <c r="C36" s="35" t="s">
        <v>871</v>
      </c>
      <c r="D36" s="35" t="s">
        <v>872</v>
      </c>
      <c r="E36" s="35">
        <v>1487.15</v>
      </c>
      <c r="F36" s="34">
        <v>42971</v>
      </c>
    </row>
    <row r="37" spans="1:6" ht="15.75" x14ac:dyDescent="0.25">
      <c r="A37" s="35">
        <v>487110</v>
      </c>
      <c r="B37" s="35" t="s">
        <v>36</v>
      </c>
      <c r="C37" s="35" t="s">
        <v>873</v>
      </c>
      <c r="D37" s="35" t="s">
        <v>874</v>
      </c>
      <c r="E37" s="35">
        <v>1756.17</v>
      </c>
      <c r="F37" s="34">
        <v>42977</v>
      </c>
    </row>
    <row r="38" spans="1:6" ht="15.75" x14ac:dyDescent="0.25">
      <c r="A38" s="35">
        <v>531110</v>
      </c>
      <c r="B38" s="35" t="s">
        <v>27</v>
      </c>
      <c r="C38" s="35" t="s">
        <v>142</v>
      </c>
      <c r="D38" s="35" t="s">
        <v>875</v>
      </c>
      <c r="E38" s="35">
        <v>-21.16</v>
      </c>
      <c r="F38" s="34">
        <v>42978</v>
      </c>
    </row>
    <row r="39" spans="1:6" ht="15.75" x14ac:dyDescent="0.25">
      <c r="A39" s="35">
        <v>531110</v>
      </c>
      <c r="B39" s="35" t="s">
        <v>27</v>
      </c>
      <c r="C39" s="35" t="s">
        <v>142</v>
      </c>
      <c r="D39" s="35" t="s">
        <v>876</v>
      </c>
      <c r="E39" s="35">
        <v>-21.16</v>
      </c>
      <c r="F39" s="34">
        <v>42978</v>
      </c>
    </row>
    <row r="40" spans="1:6" ht="15.75" x14ac:dyDescent="0.25">
      <c r="A40" s="35">
        <v>531110</v>
      </c>
      <c r="B40" s="35" t="s">
        <v>27</v>
      </c>
      <c r="C40" s="35" t="s">
        <v>142</v>
      </c>
      <c r="D40" s="35" t="s">
        <v>875</v>
      </c>
      <c r="E40" s="35">
        <v>-21.16</v>
      </c>
      <c r="F40" s="34">
        <v>42978</v>
      </c>
    </row>
    <row r="41" spans="1:6" ht="15.75" x14ac:dyDescent="0.25">
      <c r="A41" s="35">
        <v>531110</v>
      </c>
      <c r="B41" s="35" t="s">
        <v>27</v>
      </c>
      <c r="C41" s="35" t="s">
        <v>142</v>
      </c>
      <c r="D41" s="35" t="s">
        <v>876</v>
      </c>
      <c r="E41" s="35">
        <v>-21.16</v>
      </c>
      <c r="F41" s="34">
        <v>42978</v>
      </c>
    </row>
    <row r="42" spans="1:6" ht="15.75" x14ac:dyDescent="0.25">
      <c r="A42" s="35">
        <v>531110</v>
      </c>
      <c r="B42" s="35" t="s">
        <v>27</v>
      </c>
      <c r="C42" s="35" t="s">
        <v>142</v>
      </c>
      <c r="D42" s="35" t="s">
        <v>875</v>
      </c>
      <c r="E42" s="35">
        <v>21.16</v>
      </c>
      <c r="F42" s="34">
        <v>42978</v>
      </c>
    </row>
    <row r="43" spans="1:6" ht="15.75" x14ac:dyDescent="0.25">
      <c r="A43" s="35">
        <v>531110</v>
      </c>
      <c r="B43" s="35" t="s">
        <v>27</v>
      </c>
      <c r="C43" s="35" t="s">
        <v>142</v>
      </c>
      <c r="D43" s="35" t="s">
        <v>875</v>
      </c>
      <c r="E43" s="35">
        <v>21.16</v>
      </c>
      <c r="F43" s="34">
        <v>42978</v>
      </c>
    </row>
    <row r="44" spans="1:6" ht="15.75" x14ac:dyDescent="0.25">
      <c r="A44" s="35">
        <v>531110</v>
      </c>
      <c r="B44" s="35" t="s">
        <v>27</v>
      </c>
      <c r="C44" s="35" t="s">
        <v>142</v>
      </c>
      <c r="D44" s="35" t="s">
        <v>876</v>
      </c>
      <c r="E44" s="35">
        <v>23.09</v>
      </c>
      <c r="F44" s="34">
        <v>42978</v>
      </c>
    </row>
    <row r="45" spans="1:6" ht="15.75" x14ac:dyDescent="0.25">
      <c r="A45" s="35">
        <v>531110</v>
      </c>
      <c r="B45" s="35" t="s">
        <v>27</v>
      </c>
      <c r="C45" s="35" t="s">
        <v>142</v>
      </c>
      <c r="D45" s="35" t="s">
        <v>876</v>
      </c>
      <c r="E45" s="35">
        <v>23.1</v>
      </c>
      <c r="F45" s="34">
        <v>42978</v>
      </c>
    </row>
    <row r="46" spans="1:6" ht="15.75" x14ac:dyDescent="0.25">
      <c r="A46" s="35">
        <v>515130</v>
      </c>
      <c r="B46" s="35" t="s">
        <v>10</v>
      </c>
      <c r="C46" s="35" t="s">
        <v>165</v>
      </c>
      <c r="D46" s="35" t="s">
        <v>877</v>
      </c>
      <c r="E46" s="35">
        <v>97.25</v>
      </c>
      <c r="F46" s="34">
        <v>42978</v>
      </c>
    </row>
    <row r="47" spans="1:6" ht="15.75" x14ac:dyDescent="0.25">
      <c r="A47" s="35">
        <v>515530</v>
      </c>
      <c r="B47" s="35" t="s">
        <v>13</v>
      </c>
      <c r="C47" s="35" t="s">
        <v>165</v>
      </c>
      <c r="D47" s="35" t="s">
        <v>877</v>
      </c>
      <c r="E47" s="35">
        <v>399.57</v>
      </c>
      <c r="F47" s="34">
        <v>42978</v>
      </c>
    </row>
    <row r="48" spans="1:6" ht="15.75" x14ac:dyDescent="0.25">
      <c r="A48" s="35">
        <v>515120</v>
      </c>
      <c r="B48" s="35" t="s">
        <v>9</v>
      </c>
      <c r="C48" s="35" t="s">
        <v>165</v>
      </c>
      <c r="D48" s="35" t="s">
        <v>877</v>
      </c>
      <c r="E48" s="35">
        <v>415.83</v>
      </c>
      <c r="F48" s="34">
        <v>42978</v>
      </c>
    </row>
    <row r="49" spans="1:6" ht="15.75" x14ac:dyDescent="0.25">
      <c r="A49" s="35">
        <v>515420</v>
      </c>
      <c r="B49" s="35" t="s">
        <v>12</v>
      </c>
      <c r="C49" s="35" t="s">
        <v>165</v>
      </c>
      <c r="D49" s="35" t="s">
        <v>877</v>
      </c>
      <c r="E49" s="35">
        <v>428.14</v>
      </c>
      <c r="F49" s="34">
        <v>42978</v>
      </c>
    </row>
    <row r="50" spans="1:6" ht="15.75" x14ac:dyDescent="0.25">
      <c r="A50" s="35">
        <v>515410</v>
      </c>
      <c r="B50" s="35" t="s">
        <v>11</v>
      </c>
      <c r="C50" s="35" t="s">
        <v>165</v>
      </c>
      <c r="D50" s="35" t="s">
        <v>877</v>
      </c>
      <c r="E50" s="35">
        <v>473.1</v>
      </c>
      <c r="F50" s="34">
        <v>42978</v>
      </c>
    </row>
    <row r="51" spans="1:6" ht="15.75" x14ac:dyDescent="0.25">
      <c r="A51" s="35">
        <v>511120</v>
      </c>
      <c r="B51" s="35" t="s">
        <v>6</v>
      </c>
      <c r="C51" s="35" t="s">
        <v>165</v>
      </c>
      <c r="D51" s="35" t="s">
        <v>877</v>
      </c>
      <c r="E51" s="35">
        <v>6916.64</v>
      </c>
      <c r="F51" s="34">
        <v>42978</v>
      </c>
    </row>
  </sheetData>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CE464-5CCB-459D-9AD2-F17247E9B9BB}">
  <dimension ref="A1:F14"/>
  <sheetViews>
    <sheetView workbookViewId="0">
      <selection sqref="A1:F14"/>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526741</v>
      </c>
      <c r="B2" s="35" t="s">
        <v>23</v>
      </c>
      <c r="C2" s="35" t="s">
        <v>633</v>
      </c>
      <c r="D2" s="35" t="s">
        <v>822</v>
      </c>
      <c r="E2" s="35">
        <v>3708.19</v>
      </c>
      <c r="F2" s="34">
        <v>42917</v>
      </c>
    </row>
    <row r="3" spans="1:6" ht="15.75" x14ac:dyDescent="0.25">
      <c r="A3" s="35">
        <v>526712</v>
      </c>
      <c r="B3" s="35" t="s">
        <v>14</v>
      </c>
      <c r="C3" s="35" t="s">
        <v>823</v>
      </c>
      <c r="D3" s="35" t="s">
        <v>824</v>
      </c>
      <c r="E3" s="35">
        <v>88.86</v>
      </c>
      <c r="F3" s="34">
        <v>42922</v>
      </c>
    </row>
    <row r="4" spans="1:6" ht="15.75" x14ac:dyDescent="0.25">
      <c r="A4" s="35">
        <v>526741</v>
      </c>
      <c r="B4" s="35" t="s">
        <v>23</v>
      </c>
      <c r="C4" s="35" t="s">
        <v>812</v>
      </c>
      <c r="D4" s="35" t="s">
        <v>825</v>
      </c>
      <c r="E4" s="35">
        <v>83.74</v>
      </c>
      <c r="F4" s="34">
        <v>42923</v>
      </c>
    </row>
    <row r="5" spans="1:6" ht="15.75" x14ac:dyDescent="0.25">
      <c r="A5" s="35">
        <v>526741</v>
      </c>
      <c r="B5" s="35" t="s">
        <v>23</v>
      </c>
      <c r="C5" s="35" t="s">
        <v>812</v>
      </c>
      <c r="D5" s="35" t="s">
        <v>826</v>
      </c>
      <c r="E5" s="35">
        <v>167.48</v>
      </c>
      <c r="F5" s="34">
        <v>42923</v>
      </c>
    </row>
    <row r="6" spans="1:6" ht="15.75" x14ac:dyDescent="0.25">
      <c r="A6" s="35">
        <v>526712</v>
      </c>
      <c r="B6" s="35" t="s">
        <v>14</v>
      </c>
      <c r="C6" s="35" t="s">
        <v>232</v>
      </c>
      <c r="D6" s="35" t="s">
        <v>827</v>
      </c>
      <c r="E6" s="35">
        <v>33</v>
      </c>
      <c r="F6" s="34">
        <v>42935</v>
      </c>
    </row>
    <row r="7" spans="1:6" ht="15.75" x14ac:dyDescent="0.25">
      <c r="A7" s="35">
        <v>531110</v>
      </c>
      <c r="B7" s="35" t="s">
        <v>27</v>
      </c>
      <c r="C7" s="35" t="s">
        <v>142</v>
      </c>
      <c r="D7" s="35">
        <v>2000003490</v>
      </c>
      <c r="E7" s="35">
        <v>-23.92</v>
      </c>
      <c r="F7" s="34">
        <v>42940</v>
      </c>
    </row>
    <row r="8" spans="1:6" ht="15.75" x14ac:dyDescent="0.25">
      <c r="A8" s="35">
        <v>527120</v>
      </c>
      <c r="B8" s="35" t="s">
        <v>143</v>
      </c>
      <c r="C8" s="35" t="s">
        <v>144</v>
      </c>
      <c r="D8" s="35" t="s">
        <v>828</v>
      </c>
      <c r="E8" s="35">
        <v>14.5</v>
      </c>
      <c r="F8" s="34">
        <v>42940</v>
      </c>
    </row>
    <row r="9" spans="1:6" ht="15.75" x14ac:dyDescent="0.25">
      <c r="A9" s="35">
        <v>515130</v>
      </c>
      <c r="B9" s="35" t="s">
        <v>10</v>
      </c>
      <c r="C9" s="35" t="s">
        <v>165</v>
      </c>
      <c r="D9" s="35" t="s">
        <v>829</v>
      </c>
      <c r="E9" s="35">
        <v>97.25</v>
      </c>
      <c r="F9" s="34">
        <v>42947</v>
      </c>
    </row>
    <row r="10" spans="1:6" ht="15.75" x14ac:dyDescent="0.25">
      <c r="A10" s="35">
        <v>515530</v>
      </c>
      <c r="B10" s="35" t="s">
        <v>13</v>
      </c>
      <c r="C10" s="35" t="s">
        <v>165</v>
      </c>
      <c r="D10" s="35" t="s">
        <v>829</v>
      </c>
      <c r="E10" s="35">
        <v>399.57</v>
      </c>
      <c r="F10" s="34">
        <v>42947</v>
      </c>
    </row>
    <row r="11" spans="1:6" ht="15.75" x14ac:dyDescent="0.25">
      <c r="A11" s="35">
        <v>515120</v>
      </c>
      <c r="B11" s="35" t="s">
        <v>9</v>
      </c>
      <c r="C11" s="35" t="s">
        <v>165</v>
      </c>
      <c r="D11" s="35" t="s">
        <v>829</v>
      </c>
      <c r="E11" s="35">
        <v>415.82</v>
      </c>
      <c r="F11" s="34">
        <v>42947</v>
      </c>
    </row>
    <row r="12" spans="1:6" ht="15.75" x14ac:dyDescent="0.25">
      <c r="A12" s="35">
        <v>515420</v>
      </c>
      <c r="B12" s="35" t="s">
        <v>12</v>
      </c>
      <c r="C12" s="35" t="s">
        <v>165</v>
      </c>
      <c r="D12" s="35" t="s">
        <v>829</v>
      </c>
      <c r="E12" s="35">
        <v>428.14</v>
      </c>
      <c r="F12" s="34">
        <v>42947</v>
      </c>
    </row>
    <row r="13" spans="1:6" ht="15.75" x14ac:dyDescent="0.25">
      <c r="A13" s="35">
        <v>515410</v>
      </c>
      <c r="B13" s="35" t="s">
        <v>11</v>
      </c>
      <c r="C13" s="35" t="s">
        <v>165</v>
      </c>
      <c r="D13" s="35" t="s">
        <v>829</v>
      </c>
      <c r="E13" s="35">
        <v>473.1</v>
      </c>
      <c r="F13" s="34">
        <v>42947</v>
      </c>
    </row>
    <row r="14" spans="1:6" ht="15.75" x14ac:dyDescent="0.25">
      <c r="A14" s="35">
        <v>511120</v>
      </c>
      <c r="B14" s="35" t="s">
        <v>6</v>
      </c>
      <c r="C14" s="35" t="s">
        <v>165</v>
      </c>
      <c r="D14" s="35" t="s">
        <v>829</v>
      </c>
      <c r="E14" s="35">
        <v>6916.64</v>
      </c>
      <c r="F14" s="34">
        <v>42947</v>
      </c>
    </row>
  </sheetData>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18F4C-0DB4-46B2-AC60-8D8FC1E924E4}">
  <dimension ref="A1:F45"/>
  <sheetViews>
    <sheetView workbookViewId="0">
      <selection activeCell="D23" sqref="D23"/>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526712</v>
      </c>
      <c r="B2" s="35" t="s">
        <v>14</v>
      </c>
      <c r="C2" s="35" t="s">
        <v>767</v>
      </c>
      <c r="D2" s="35" t="s">
        <v>768</v>
      </c>
      <c r="E2" s="35">
        <v>11.29</v>
      </c>
      <c r="F2" s="34">
        <v>42887</v>
      </c>
    </row>
    <row r="3" spans="1:6" ht="15.75" x14ac:dyDescent="0.25">
      <c r="A3" s="35">
        <v>526712</v>
      </c>
      <c r="B3" s="35" t="s">
        <v>14</v>
      </c>
      <c r="C3" s="35" t="s">
        <v>769</v>
      </c>
      <c r="D3" s="35" t="s">
        <v>770</v>
      </c>
      <c r="E3" s="35">
        <v>25.68</v>
      </c>
      <c r="F3" s="34">
        <v>42887</v>
      </c>
    </row>
    <row r="4" spans="1:6" ht="15.75" x14ac:dyDescent="0.25">
      <c r="A4" s="35">
        <v>526712</v>
      </c>
      <c r="B4" s="35" t="s">
        <v>14</v>
      </c>
      <c r="C4" s="35" t="s">
        <v>771</v>
      </c>
      <c r="D4" s="35" t="s">
        <v>772</v>
      </c>
      <c r="E4" s="35">
        <v>51.36</v>
      </c>
      <c r="F4" s="34">
        <v>42887</v>
      </c>
    </row>
    <row r="5" spans="1:6" ht="15.75" x14ac:dyDescent="0.25">
      <c r="A5" s="35">
        <v>526712</v>
      </c>
      <c r="B5" s="35" t="s">
        <v>14</v>
      </c>
      <c r="C5" s="35" t="s">
        <v>773</v>
      </c>
      <c r="D5" s="35" t="s">
        <v>774</v>
      </c>
      <c r="E5" s="35">
        <v>55.2</v>
      </c>
      <c r="F5" s="34">
        <v>42887</v>
      </c>
    </row>
    <row r="6" spans="1:6" ht="15.75" x14ac:dyDescent="0.25">
      <c r="A6" s="35">
        <v>526712</v>
      </c>
      <c r="B6" s="35" t="s">
        <v>14</v>
      </c>
      <c r="C6" s="35" t="s">
        <v>232</v>
      </c>
      <c r="D6" s="35" t="s">
        <v>775</v>
      </c>
      <c r="E6" s="35">
        <v>58.84</v>
      </c>
      <c r="F6" s="34">
        <v>42887</v>
      </c>
    </row>
    <row r="7" spans="1:6" ht="15.75" x14ac:dyDescent="0.25">
      <c r="A7" s="35">
        <v>526712</v>
      </c>
      <c r="B7" s="35" t="s">
        <v>14</v>
      </c>
      <c r="C7" s="35" t="s">
        <v>232</v>
      </c>
      <c r="D7" s="35" t="s">
        <v>776</v>
      </c>
      <c r="E7" s="35">
        <v>59.92</v>
      </c>
      <c r="F7" s="34">
        <v>42887</v>
      </c>
    </row>
    <row r="8" spans="1:6" ht="15.75" x14ac:dyDescent="0.25">
      <c r="A8" s="35">
        <v>526712</v>
      </c>
      <c r="B8" s="35" t="s">
        <v>14</v>
      </c>
      <c r="C8" s="35" t="s">
        <v>777</v>
      </c>
      <c r="D8" s="35" t="s">
        <v>778</v>
      </c>
      <c r="E8" s="35">
        <v>85.6</v>
      </c>
      <c r="F8" s="34">
        <v>42887</v>
      </c>
    </row>
    <row r="9" spans="1:6" ht="15.75" x14ac:dyDescent="0.25">
      <c r="A9" s="35">
        <v>527195</v>
      </c>
      <c r="B9" s="35" t="s">
        <v>779</v>
      </c>
      <c r="C9" s="35" t="s">
        <v>178</v>
      </c>
      <c r="D9" s="35" t="s">
        <v>780</v>
      </c>
      <c r="E9" s="35">
        <v>117</v>
      </c>
      <c r="F9" s="34">
        <v>42887</v>
      </c>
    </row>
    <row r="10" spans="1:6" ht="15.75" x14ac:dyDescent="0.25">
      <c r="A10" s="35">
        <v>526712</v>
      </c>
      <c r="B10" s="35" t="s">
        <v>14</v>
      </c>
      <c r="C10" s="35" t="s">
        <v>781</v>
      </c>
      <c r="D10" s="35" t="s">
        <v>782</v>
      </c>
      <c r="E10" s="35">
        <v>119.58</v>
      </c>
      <c r="F10" s="34">
        <v>42887</v>
      </c>
    </row>
    <row r="11" spans="1:6" ht="15.75" x14ac:dyDescent="0.25">
      <c r="A11" s="35">
        <v>526712</v>
      </c>
      <c r="B11" s="35" t="s">
        <v>14</v>
      </c>
      <c r="C11" s="35" t="s">
        <v>783</v>
      </c>
      <c r="D11" s="35" t="s">
        <v>784</v>
      </c>
      <c r="E11" s="35">
        <v>125.36</v>
      </c>
      <c r="F11" s="34">
        <v>42887</v>
      </c>
    </row>
    <row r="12" spans="1:6" ht="15.75" x14ac:dyDescent="0.25">
      <c r="A12" s="35">
        <v>526712</v>
      </c>
      <c r="B12" s="35" t="s">
        <v>14</v>
      </c>
      <c r="C12" s="35" t="s">
        <v>785</v>
      </c>
      <c r="D12" s="35" t="s">
        <v>786</v>
      </c>
      <c r="E12" s="35">
        <v>125.36</v>
      </c>
      <c r="F12" s="34">
        <v>42887</v>
      </c>
    </row>
    <row r="13" spans="1:6" ht="15.75" x14ac:dyDescent="0.25">
      <c r="A13" s="35">
        <v>526712</v>
      </c>
      <c r="B13" s="35" t="s">
        <v>14</v>
      </c>
      <c r="C13" s="35" t="s">
        <v>787</v>
      </c>
      <c r="D13" s="35" t="s">
        <v>788</v>
      </c>
      <c r="E13" s="35">
        <v>129.44</v>
      </c>
      <c r="F13" s="34">
        <v>42887</v>
      </c>
    </row>
    <row r="14" spans="1:6" ht="15.75" x14ac:dyDescent="0.25">
      <c r="A14" s="35">
        <v>526712</v>
      </c>
      <c r="B14" s="35" t="s">
        <v>14</v>
      </c>
      <c r="C14" s="35" t="s">
        <v>789</v>
      </c>
      <c r="D14" s="35" t="s">
        <v>790</v>
      </c>
      <c r="E14" s="35">
        <v>130.12</v>
      </c>
      <c r="F14" s="34">
        <v>42887</v>
      </c>
    </row>
    <row r="15" spans="1:6" ht="15.75" x14ac:dyDescent="0.25">
      <c r="A15" s="35">
        <v>526712</v>
      </c>
      <c r="B15" s="35" t="s">
        <v>14</v>
      </c>
      <c r="C15" s="35" t="s">
        <v>791</v>
      </c>
      <c r="D15" s="35" t="s">
        <v>792</v>
      </c>
      <c r="E15" s="35">
        <v>141.34</v>
      </c>
      <c r="F15" s="34">
        <v>42887</v>
      </c>
    </row>
    <row r="16" spans="1:6" ht="15.75" x14ac:dyDescent="0.25">
      <c r="A16" s="35">
        <v>526712</v>
      </c>
      <c r="B16" s="35" t="s">
        <v>14</v>
      </c>
      <c r="C16" s="35" t="s">
        <v>386</v>
      </c>
      <c r="D16" s="35" t="s">
        <v>793</v>
      </c>
      <c r="E16" s="35">
        <v>142.69999999999999</v>
      </c>
      <c r="F16" s="34">
        <v>42887</v>
      </c>
    </row>
    <row r="17" spans="1:6" ht="15.75" x14ac:dyDescent="0.25">
      <c r="A17" s="35">
        <v>526712</v>
      </c>
      <c r="B17" s="35" t="s">
        <v>14</v>
      </c>
      <c r="C17" s="35" t="s">
        <v>652</v>
      </c>
      <c r="D17" s="35" t="s">
        <v>794</v>
      </c>
      <c r="E17" s="35">
        <v>150.18</v>
      </c>
      <c r="F17" s="34">
        <v>42887</v>
      </c>
    </row>
    <row r="18" spans="1:6" ht="15.75" x14ac:dyDescent="0.25">
      <c r="A18" s="35">
        <v>587890</v>
      </c>
      <c r="B18" s="35" t="s">
        <v>32</v>
      </c>
      <c r="C18" s="35" t="s">
        <v>462</v>
      </c>
      <c r="D18" s="35" t="s">
        <v>795</v>
      </c>
      <c r="E18" s="35">
        <v>250</v>
      </c>
      <c r="F18" s="34">
        <v>42887</v>
      </c>
    </row>
    <row r="19" spans="1:6" ht="15.75" x14ac:dyDescent="0.25">
      <c r="A19" s="35">
        <v>587890</v>
      </c>
      <c r="B19" s="35" t="s">
        <v>32</v>
      </c>
      <c r="C19" s="35" t="s">
        <v>462</v>
      </c>
      <c r="D19" s="35" t="s">
        <v>796</v>
      </c>
      <c r="E19" s="35">
        <v>400</v>
      </c>
      <c r="F19" s="34">
        <v>42887</v>
      </c>
    </row>
    <row r="20" spans="1:6" ht="15.75" x14ac:dyDescent="0.25">
      <c r="A20" s="35">
        <v>587890</v>
      </c>
      <c r="B20" s="35" t="s">
        <v>32</v>
      </c>
      <c r="C20" s="35" t="s">
        <v>358</v>
      </c>
      <c r="D20" s="35" t="s">
        <v>797</v>
      </c>
      <c r="E20" s="35">
        <v>450</v>
      </c>
      <c r="F20" s="34">
        <v>42887</v>
      </c>
    </row>
    <row r="21" spans="1:6" ht="15.75" x14ac:dyDescent="0.25">
      <c r="A21" s="35">
        <v>587890</v>
      </c>
      <c r="B21" s="35" t="s">
        <v>32</v>
      </c>
      <c r="C21" s="35" t="s">
        <v>462</v>
      </c>
      <c r="D21" s="35" t="s">
        <v>798</v>
      </c>
      <c r="E21" s="35">
        <v>867</v>
      </c>
      <c r="F21" s="34">
        <v>42887</v>
      </c>
    </row>
    <row r="22" spans="1:6" ht="15.75" x14ac:dyDescent="0.25">
      <c r="A22" s="35">
        <v>587890</v>
      </c>
      <c r="B22" s="35" t="s">
        <v>32</v>
      </c>
      <c r="C22" s="35" t="s">
        <v>462</v>
      </c>
      <c r="D22" s="35" t="s">
        <v>799</v>
      </c>
      <c r="E22" s="35">
        <v>1000</v>
      </c>
      <c r="F22" s="34">
        <v>42887</v>
      </c>
    </row>
    <row r="23" spans="1:6" ht="15.75" x14ac:dyDescent="0.25">
      <c r="A23" s="35">
        <v>587890</v>
      </c>
      <c r="B23" s="35" t="s">
        <v>32</v>
      </c>
      <c r="C23" s="35" t="s">
        <v>462</v>
      </c>
      <c r="D23" s="35" t="s">
        <v>800</v>
      </c>
      <c r="E23" s="35">
        <v>1100</v>
      </c>
      <c r="F23" s="34">
        <v>42887</v>
      </c>
    </row>
    <row r="24" spans="1:6" ht="15.75" x14ac:dyDescent="0.25">
      <c r="A24" s="35">
        <v>587890</v>
      </c>
      <c r="B24" s="35" t="s">
        <v>32</v>
      </c>
      <c r="C24" s="35" t="s">
        <v>801</v>
      </c>
      <c r="D24" s="35" t="s">
        <v>802</v>
      </c>
      <c r="E24" s="35">
        <v>2500</v>
      </c>
      <c r="F24" s="34">
        <v>42887</v>
      </c>
    </row>
    <row r="25" spans="1:6" ht="15.75" x14ac:dyDescent="0.25">
      <c r="A25" s="35">
        <v>587890</v>
      </c>
      <c r="B25" s="35" t="s">
        <v>32</v>
      </c>
      <c r="C25" s="35" t="s">
        <v>358</v>
      </c>
      <c r="D25" s="35" t="s">
        <v>803</v>
      </c>
      <c r="E25" s="35">
        <v>3693.8</v>
      </c>
      <c r="F25" s="34">
        <v>42887</v>
      </c>
    </row>
    <row r="26" spans="1:6" ht="15.75" x14ac:dyDescent="0.25">
      <c r="A26" s="35">
        <v>587890</v>
      </c>
      <c r="B26" s="35" t="s">
        <v>32</v>
      </c>
      <c r="C26" s="35" t="s">
        <v>801</v>
      </c>
      <c r="D26" s="35" t="s">
        <v>804</v>
      </c>
      <c r="E26" s="35">
        <v>4000</v>
      </c>
      <c r="F26" s="34">
        <v>42887</v>
      </c>
    </row>
    <row r="27" spans="1:6" ht="15.75" x14ac:dyDescent="0.25">
      <c r="A27" s="35">
        <v>587890</v>
      </c>
      <c r="B27" s="35" t="s">
        <v>32</v>
      </c>
      <c r="C27" s="35" t="s">
        <v>805</v>
      </c>
      <c r="D27" s="35" t="s">
        <v>806</v>
      </c>
      <c r="E27" s="35">
        <v>-550</v>
      </c>
      <c r="F27" s="34">
        <v>42899</v>
      </c>
    </row>
    <row r="28" spans="1:6" ht="15.75" x14ac:dyDescent="0.25">
      <c r="A28" s="35">
        <v>526711</v>
      </c>
      <c r="B28" s="35" t="s">
        <v>755</v>
      </c>
      <c r="C28" s="35" t="s">
        <v>640</v>
      </c>
      <c r="D28" s="35" t="s">
        <v>807</v>
      </c>
      <c r="E28" s="35">
        <v>197.2</v>
      </c>
      <c r="F28" s="34">
        <v>42901</v>
      </c>
    </row>
    <row r="29" spans="1:6" ht="15.75" x14ac:dyDescent="0.25">
      <c r="A29" s="35">
        <v>526711</v>
      </c>
      <c r="B29" s="35" t="s">
        <v>755</v>
      </c>
      <c r="C29" s="35" t="s">
        <v>640</v>
      </c>
      <c r="D29" s="35" t="s">
        <v>807</v>
      </c>
      <c r="E29" s="35">
        <v>289.39999999999998</v>
      </c>
      <c r="F29" s="34">
        <v>42901</v>
      </c>
    </row>
    <row r="30" spans="1:6" ht="15.75" x14ac:dyDescent="0.25">
      <c r="A30" s="35">
        <v>526712</v>
      </c>
      <c r="B30" s="35" t="s">
        <v>14</v>
      </c>
      <c r="C30" s="35" t="s">
        <v>808</v>
      </c>
      <c r="D30" s="35" t="s">
        <v>809</v>
      </c>
      <c r="E30" s="35">
        <v>86.12</v>
      </c>
      <c r="F30" s="34">
        <v>42902</v>
      </c>
    </row>
    <row r="31" spans="1:6" ht="15.75" x14ac:dyDescent="0.25">
      <c r="A31" s="35">
        <v>526741</v>
      </c>
      <c r="B31" s="35" t="s">
        <v>23</v>
      </c>
      <c r="C31" s="35" t="s">
        <v>146</v>
      </c>
      <c r="D31" s="35" t="s">
        <v>810</v>
      </c>
      <c r="E31" s="35">
        <v>136.74</v>
      </c>
      <c r="F31" s="34">
        <v>42902</v>
      </c>
    </row>
    <row r="32" spans="1:6" ht="15.75" x14ac:dyDescent="0.25">
      <c r="A32" s="35">
        <v>526741</v>
      </c>
      <c r="B32" s="35" t="s">
        <v>23</v>
      </c>
      <c r="C32" s="35" t="s">
        <v>146</v>
      </c>
      <c r="D32" s="35" t="s">
        <v>811</v>
      </c>
      <c r="E32" s="35">
        <v>273.48</v>
      </c>
      <c r="F32" s="34">
        <v>42902</v>
      </c>
    </row>
    <row r="33" spans="1:6" ht="15.75" x14ac:dyDescent="0.25">
      <c r="A33" s="35">
        <v>526741</v>
      </c>
      <c r="B33" s="35" t="s">
        <v>23</v>
      </c>
      <c r="C33" s="35" t="s">
        <v>812</v>
      </c>
      <c r="D33" s="35" t="s">
        <v>813</v>
      </c>
      <c r="E33" s="35">
        <v>865.5</v>
      </c>
      <c r="F33" s="34">
        <v>42902</v>
      </c>
    </row>
    <row r="34" spans="1:6" ht="15.75" x14ac:dyDescent="0.25">
      <c r="A34" s="35">
        <v>526741</v>
      </c>
      <c r="B34" s="35" t="s">
        <v>23</v>
      </c>
      <c r="C34" s="35" t="s">
        <v>812</v>
      </c>
      <c r="D34" s="35" t="s">
        <v>814</v>
      </c>
      <c r="E34" s="35">
        <v>1144.8</v>
      </c>
      <c r="F34" s="34">
        <v>42902</v>
      </c>
    </row>
    <row r="35" spans="1:6" ht="15.75" x14ac:dyDescent="0.25">
      <c r="A35" s="35">
        <v>527120</v>
      </c>
      <c r="B35" s="35" t="s">
        <v>143</v>
      </c>
      <c r="C35" s="35" t="s">
        <v>144</v>
      </c>
      <c r="D35" s="35" t="s">
        <v>815</v>
      </c>
      <c r="E35" s="35">
        <v>14.5</v>
      </c>
      <c r="F35" s="34">
        <v>42906</v>
      </c>
    </row>
    <row r="36" spans="1:6" ht="15.75" x14ac:dyDescent="0.25">
      <c r="A36" s="35">
        <v>526711</v>
      </c>
      <c r="B36" s="35" t="s">
        <v>755</v>
      </c>
      <c r="C36" s="35" t="s">
        <v>640</v>
      </c>
      <c r="D36" s="35" t="s">
        <v>816</v>
      </c>
      <c r="E36" s="35">
        <v>199.4</v>
      </c>
      <c r="F36" s="34">
        <v>42909</v>
      </c>
    </row>
    <row r="37" spans="1:6" ht="15.75" x14ac:dyDescent="0.25">
      <c r="A37" s="35">
        <v>526711</v>
      </c>
      <c r="B37" s="35" t="s">
        <v>755</v>
      </c>
      <c r="C37" s="35" t="s">
        <v>640</v>
      </c>
      <c r="D37" s="35" t="s">
        <v>816</v>
      </c>
      <c r="E37" s="35">
        <v>390.4</v>
      </c>
      <c r="F37" s="34">
        <v>42909</v>
      </c>
    </row>
    <row r="38" spans="1:6" ht="15.75" x14ac:dyDescent="0.25">
      <c r="A38" s="35">
        <v>558979</v>
      </c>
      <c r="B38" s="35" t="s">
        <v>150</v>
      </c>
      <c r="C38" s="35" t="s">
        <v>232</v>
      </c>
      <c r="D38" s="35" t="s">
        <v>817</v>
      </c>
      <c r="E38" s="35">
        <v>650</v>
      </c>
      <c r="F38" s="34">
        <v>42914</v>
      </c>
    </row>
    <row r="39" spans="1:6" ht="15.75" x14ac:dyDescent="0.25">
      <c r="A39" s="35">
        <v>515130</v>
      </c>
      <c r="B39" s="35" t="s">
        <v>10</v>
      </c>
      <c r="C39" s="35" t="s">
        <v>165</v>
      </c>
      <c r="D39" s="35" t="s">
        <v>818</v>
      </c>
      <c r="E39" s="35">
        <v>97.03</v>
      </c>
      <c r="F39" s="34">
        <v>42916</v>
      </c>
    </row>
    <row r="40" spans="1:6" ht="15.75" x14ac:dyDescent="0.25">
      <c r="A40" s="35">
        <v>515120</v>
      </c>
      <c r="B40" s="35" t="s">
        <v>9</v>
      </c>
      <c r="C40" s="35" t="s">
        <v>165</v>
      </c>
      <c r="D40" s="35" t="s">
        <v>818</v>
      </c>
      <c r="E40" s="35">
        <v>414.91</v>
      </c>
      <c r="F40" s="34">
        <v>42916</v>
      </c>
    </row>
    <row r="41" spans="1:6" ht="15.75" x14ac:dyDescent="0.25">
      <c r="A41" s="35">
        <v>515530</v>
      </c>
      <c r="B41" s="35" t="s">
        <v>13</v>
      </c>
      <c r="C41" s="35" t="s">
        <v>165</v>
      </c>
      <c r="D41" s="35" t="s">
        <v>818</v>
      </c>
      <c r="E41" s="35">
        <v>427.92</v>
      </c>
      <c r="F41" s="34">
        <v>42916</v>
      </c>
    </row>
    <row r="42" spans="1:6" ht="15.75" x14ac:dyDescent="0.25">
      <c r="A42" s="35">
        <v>515420</v>
      </c>
      <c r="B42" s="35" t="s">
        <v>12</v>
      </c>
      <c r="C42" s="35" t="s">
        <v>165</v>
      </c>
      <c r="D42" s="35" t="s">
        <v>818</v>
      </c>
      <c r="E42" s="35">
        <v>442.66</v>
      </c>
      <c r="F42" s="34">
        <v>42916</v>
      </c>
    </row>
    <row r="43" spans="1:6" ht="15.75" x14ac:dyDescent="0.25">
      <c r="A43" s="35">
        <v>515410</v>
      </c>
      <c r="B43" s="35" t="s">
        <v>11</v>
      </c>
      <c r="C43" s="35" t="s">
        <v>165</v>
      </c>
      <c r="D43" s="35" t="s">
        <v>818</v>
      </c>
      <c r="E43" s="35">
        <v>473.1</v>
      </c>
      <c r="F43" s="34">
        <v>42916</v>
      </c>
    </row>
    <row r="44" spans="1:6" ht="15.75" x14ac:dyDescent="0.25">
      <c r="A44" s="35">
        <v>558982</v>
      </c>
      <c r="B44" s="35" t="s">
        <v>819</v>
      </c>
      <c r="C44" s="35" t="s">
        <v>820</v>
      </c>
      <c r="D44" s="35" t="s">
        <v>821</v>
      </c>
      <c r="E44" s="35">
        <v>1532.1</v>
      </c>
      <c r="F44" s="34">
        <v>42916</v>
      </c>
    </row>
    <row r="45" spans="1:6" ht="15.75" x14ac:dyDescent="0.25">
      <c r="A45" s="35">
        <v>511120</v>
      </c>
      <c r="B45" s="35" t="s">
        <v>6</v>
      </c>
      <c r="C45" s="35" t="s">
        <v>165</v>
      </c>
      <c r="D45" s="35" t="s">
        <v>818</v>
      </c>
      <c r="E45" s="35">
        <v>6916.64</v>
      </c>
      <c r="F45" s="34">
        <v>42916</v>
      </c>
    </row>
  </sheetData>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D9BC-73B6-465A-8840-95E87F70574E}">
  <dimension ref="A1:F80"/>
  <sheetViews>
    <sheetView workbookViewId="0">
      <selection activeCell="C16" sqref="C16"/>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587890</v>
      </c>
      <c r="B2" s="35" t="s">
        <v>32</v>
      </c>
      <c r="C2" s="35" t="s">
        <v>717</v>
      </c>
      <c r="D2" s="35" t="s">
        <v>718</v>
      </c>
      <c r="E2" s="35">
        <v>160</v>
      </c>
      <c r="F2" s="34">
        <v>42857</v>
      </c>
    </row>
    <row r="3" spans="1:6" ht="15.75" x14ac:dyDescent="0.25">
      <c r="A3" s="35">
        <v>587890</v>
      </c>
      <c r="B3" s="35" t="s">
        <v>32</v>
      </c>
      <c r="C3" s="35" t="s">
        <v>717</v>
      </c>
      <c r="D3" s="35" t="s">
        <v>719</v>
      </c>
      <c r="E3" s="35">
        <v>625</v>
      </c>
      <c r="F3" s="34">
        <v>42857</v>
      </c>
    </row>
    <row r="4" spans="1:6" ht="15.75" x14ac:dyDescent="0.25">
      <c r="A4" s="35">
        <v>587890</v>
      </c>
      <c r="B4" s="35" t="s">
        <v>32</v>
      </c>
      <c r="C4" s="35" t="s">
        <v>348</v>
      </c>
      <c r="D4" s="35" t="s">
        <v>720</v>
      </c>
      <c r="E4" s="35">
        <v>746.91</v>
      </c>
      <c r="F4" s="34">
        <v>42857</v>
      </c>
    </row>
    <row r="5" spans="1:6" ht="15.75" x14ac:dyDescent="0.25">
      <c r="A5" s="35">
        <v>587890</v>
      </c>
      <c r="B5" s="35" t="s">
        <v>32</v>
      </c>
      <c r="C5" s="35" t="s">
        <v>350</v>
      </c>
      <c r="D5" s="35" t="s">
        <v>721</v>
      </c>
      <c r="E5" s="35">
        <v>3300</v>
      </c>
      <c r="F5" s="34">
        <v>42857</v>
      </c>
    </row>
    <row r="6" spans="1:6" ht="15.75" x14ac:dyDescent="0.25">
      <c r="A6" s="35">
        <v>526712</v>
      </c>
      <c r="B6" s="35" t="s">
        <v>14</v>
      </c>
      <c r="C6" s="35" t="s">
        <v>281</v>
      </c>
      <c r="D6" s="35" t="s">
        <v>722</v>
      </c>
      <c r="E6" s="35">
        <v>22.48</v>
      </c>
      <c r="F6" s="34">
        <v>42860</v>
      </c>
    </row>
    <row r="7" spans="1:6" ht="15.75" x14ac:dyDescent="0.25">
      <c r="A7" s="35">
        <v>526712</v>
      </c>
      <c r="B7" s="35" t="s">
        <v>14</v>
      </c>
      <c r="C7" s="35" t="s">
        <v>163</v>
      </c>
      <c r="D7" s="35" t="s">
        <v>723</v>
      </c>
      <c r="E7" s="35">
        <v>22.48</v>
      </c>
      <c r="F7" s="34">
        <v>42860</v>
      </c>
    </row>
    <row r="8" spans="1:6" ht="15.75" x14ac:dyDescent="0.25">
      <c r="A8" s="35">
        <v>526712</v>
      </c>
      <c r="B8" s="35" t="s">
        <v>14</v>
      </c>
      <c r="C8" s="35" t="s">
        <v>500</v>
      </c>
      <c r="D8" s="35" t="s">
        <v>724</v>
      </c>
      <c r="E8" s="35">
        <v>22.48</v>
      </c>
      <c r="F8" s="34">
        <v>42860</v>
      </c>
    </row>
    <row r="9" spans="1:6" ht="15.75" x14ac:dyDescent="0.25">
      <c r="A9" s="35">
        <v>526712</v>
      </c>
      <c r="B9" s="35" t="s">
        <v>14</v>
      </c>
      <c r="C9" s="35" t="s">
        <v>327</v>
      </c>
      <c r="D9" s="35" t="s">
        <v>725</v>
      </c>
      <c r="E9" s="35">
        <v>96.3</v>
      </c>
      <c r="F9" s="34">
        <v>42860</v>
      </c>
    </row>
    <row r="10" spans="1:6" ht="15.75" x14ac:dyDescent="0.25">
      <c r="A10" s="35">
        <v>526712</v>
      </c>
      <c r="B10" s="35" t="s">
        <v>14</v>
      </c>
      <c r="C10" s="35" t="s">
        <v>188</v>
      </c>
      <c r="D10" s="35" t="s">
        <v>726</v>
      </c>
      <c r="E10" s="35">
        <v>130.12</v>
      </c>
      <c r="F10" s="34">
        <v>42860</v>
      </c>
    </row>
    <row r="11" spans="1:6" ht="15.75" x14ac:dyDescent="0.25">
      <c r="A11" s="35">
        <v>526712</v>
      </c>
      <c r="B11" s="35" t="s">
        <v>14</v>
      </c>
      <c r="C11" s="35" t="s">
        <v>232</v>
      </c>
      <c r="D11" s="35" t="s">
        <v>727</v>
      </c>
      <c r="E11" s="35">
        <v>130.12</v>
      </c>
      <c r="F11" s="34">
        <v>42860</v>
      </c>
    </row>
    <row r="12" spans="1:6" ht="15.75" x14ac:dyDescent="0.25">
      <c r="A12" s="35">
        <v>526712</v>
      </c>
      <c r="B12" s="35" t="s">
        <v>14</v>
      </c>
      <c r="C12" s="35" t="s">
        <v>313</v>
      </c>
      <c r="D12" s="35" t="s">
        <v>728</v>
      </c>
      <c r="E12" s="35">
        <v>166.5</v>
      </c>
      <c r="F12" s="34">
        <v>42860</v>
      </c>
    </row>
    <row r="13" spans="1:6" ht="15.75" x14ac:dyDescent="0.25">
      <c r="A13" s="35">
        <v>558979</v>
      </c>
      <c r="B13" s="35" t="s">
        <v>150</v>
      </c>
      <c r="C13" s="35" t="s">
        <v>404</v>
      </c>
      <c r="D13" s="35" t="s">
        <v>729</v>
      </c>
      <c r="E13" s="35">
        <v>500</v>
      </c>
      <c r="F13" s="34">
        <v>42860</v>
      </c>
    </row>
    <row r="14" spans="1:6" ht="15.75" x14ac:dyDescent="0.25">
      <c r="A14" s="35">
        <v>526741</v>
      </c>
      <c r="B14" s="35" t="s">
        <v>23</v>
      </c>
      <c r="C14" s="35" t="s">
        <v>730</v>
      </c>
      <c r="D14" s="35" t="s">
        <v>731</v>
      </c>
      <c r="E14" s="35">
        <v>3560</v>
      </c>
      <c r="F14" s="34">
        <v>42860</v>
      </c>
    </row>
    <row r="15" spans="1:6" ht="15.75" x14ac:dyDescent="0.25">
      <c r="A15" s="35">
        <v>558979</v>
      </c>
      <c r="B15" s="35" t="s">
        <v>150</v>
      </c>
      <c r="C15" s="35" t="s">
        <v>184</v>
      </c>
      <c r="D15" s="35" t="s">
        <v>732</v>
      </c>
      <c r="E15" s="35">
        <v>100</v>
      </c>
      <c r="F15" s="34">
        <v>42864</v>
      </c>
    </row>
    <row r="16" spans="1:6" ht="15.75" x14ac:dyDescent="0.25">
      <c r="A16" s="35">
        <v>558979</v>
      </c>
      <c r="B16" s="35" t="s">
        <v>150</v>
      </c>
      <c r="C16" s="35" t="s">
        <v>386</v>
      </c>
      <c r="D16" s="35" t="s">
        <v>733</v>
      </c>
      <c r="E16" s="35">
        <v>125</v>
      </c>
      <c r="F16" s="34">
        <v>42864</v>
      </c>
    </row>
    <row r="17" spans="1:6" ht="15.75" x14ac:dyDescent="0.25">
      <c r="A17" s="35">
        <v>558979</v>
      </c>
      <c r="B17" s="35" t="s">
        <v>150</v>
      </c>
      <c r="C17" s="35" t="s">
        <v>317</v>
      </c>
      <c r="D17" s="35" t="s">
        <v>734</v>
      </c>
      <c r="E17" s="35">
        <v>125</v>
      </c>
      <c r="F17" s="34">
        <v>42864</v>
      </c>
    </row>
    <row r="18" spans="1:6" ht="15.75" x14ac:dyDescent="0.25">
      <c r="A18" s="35">
        <v>558979</v>
      </c>
      <c r="B18" s="35" t="s">
        <v>150</v>
      </c>
      <c r="C18" s="35" t="s">
        <v>323</v>
      </c>
      <c r="D18" s="35" t="s">
        <v>735</v>
      </c>
      <c r="E18" s="35">
        <v>125</v>
      </c>
      <c r="F18" s="34">
        <v>42864</v>
      </c>
    </row>
    <row r="19" spans="1:6" ht="15.75" x14ac:dyDescent="0.25">
      <c r="A19" s="35">
        <v>558979</v>
      </c>
      <c r="B19" s="35" t="s">
        <v>150</v>
      </c>
      <c r="C19" s="35" t="s">
        <v>315</v>
      </c>
      <c r="D19" s="35" t="s">
        <v>736</v>
      </c>
      <c r="E19" s="35">
        <v>125</v>
      </c>
      <c r="F19" s="34">
        <v>42864</v>
      </c>
    </row>
    <row r="20" spans="1:6" ht="15.75" x14ac:dyDescent="0.25">
      <c r="A20" s="35">
        <v>558979</v>
      </c>
      <c r="B20" s="35" t="s">
        <v>150</v>
      </c>
      <c r="C20" s="35" t="s">
        <v>151</v>
      </c>
      <c r="D20" s="35" t="s">
        <v>737</v>
      </c>
      <c r="E20" s="35">
        <v>125</v>
      </c>
      <c r="F20" s="34">
        <v>42864</v>
      </c>
    </row>
    <row r="21" spans="1:6" ht="15.75" x14ac:dyDescent="0.25">
      <c r="A21" s="35">
        <v>558979</v>
      </c>
      <c r="B21" s="35" t="s">
        <v>150</v>
      </c>
      <c r="C21" s="35" t="s">
        <v>327</v>
      </c>
      <c r="D21" s="35" t="s">
        <v>738</v>
      </c>
      <c r="E21" s="35">
        <v>125</v>
      </c>
      <c r="F21" s="34">
        <v>42864</v>
      </c>
    </row>
    <row r="22" spans="1:6" ht="15.75" x14ac:dyDescent="0.25">
      <c r="A22" s="35">
        <v>558979</v>
      </c>
      <c r="B22" s="35" t="s">
        <v>150</v>
      </c>
      <c r="C22" s="35" t="s">
        <v>309</v>
      </c>
      <c r="D22" s="35" t="s">
        <v>739</v>
      </c>
      <c r="E22" s="35">
        <v>125</v>
      </c>
      <c r="F22" s="34">
        <v>42864</v>
      </c>
    </row>
    <row r="23" spans="1:6" ht="15.75" x14ac:dyDescent="0.25">
      <c r="A23" s="35">
        <v>558979</v>
      </c>
      <c r="B23" s="35" t="s">
        <v>150</v>
      </c>
      <c r="C23" s="35" t="s">
        <v>311</v>
      </c>
      <c r="D23" s="35" t="s">
        <v>740</v>
      </c>
      <c r="E23" s="35">
        <v>125</v>
      </c>
      <c r="F23" s="34">
        <v>42864</v>
      </c>
    </row>
    <row r="24" spans="1:6" ht="15.75" x14ac:dyDescent="0.25">
      <c r="A24" s="35">
        <v>558979</v>
      </c>
      <c r="B24" s="35" t="s">
        <v>150</v>
      </c>
      <c r="C24" s="35" t="s">
        <v>321</v>
      </c>
      <c r="D24" s="35" t="s">
        <v>741</v>
      </c>
      <c r="E24" s="35">
        <v>125</v>
      </c>
      <c r="F24" s="34">
        <v>42864</v>
      </c>
    </row>
    <row r="25" spans="1:6" ht="15.75" x14ac:dyDescent="0.25">
      <c r="A25" s="35">
        <v>558979</v>
      </c>
      <c r="B25" s="35" t="s">
        <v>150</v>
      </c>
      <c r="C25" s="35" t="s">
        <v>325</v>
      </c>
      <c r="D25" s="35" t="s">
        <v>742</v>
      </c>
      <c r="E25" s="35">
        <v>125</v>
      </c>
      <c r="F25" s="34">
        <v>42864</v>
      </c>
    </row>
    <row r="26" spans="1:6" ht="15.75" x14ac:dyDescent="0.25">
      <c r="A26" s="35">
        <v>558979</v>
      </c>
      <c r="B26" s="35" t="s">
        <v>150</v>
      </c>
      <c r="C26" s="35" t="s">
        <v>186</v>
      </c>
      <c r="D26" s="35" t="s">
        <v>743</v>
      </c>
      <c r="E26" s="35">
        <v>170</v>
      </c>
      <c r="F26" s="34">
        <v>42864</v>
      </c>
    </row>
    <row r="27" spans="1:6" ht="15.75" x14ac:dyDescent="0.25">
      <c r="A27" s="35">
        <v>558979</v>
      </c>
      <c r="B27" s="35" t="s">
        <v>150</v>
      </c>
      <c r="C27" s="35" t="s">
        <v>182</v>
      </c>
      <c r="D27" s="35" t="s">
        <v>744</v>
      </c>
      <c r="E27" s="35">
        <v>200</v>
      </c>
      <c r="F27" s="34">
        <v>42864</v>
      </c>
    </row>
    <row r="28" spans="1:6" ht="15.75" x14ac:dyDescent="0.25">
      <c r="A28" s="35">
        <v>558979</v>
      </c>
      <c r="B28" s="35" t="s">
        <v>150</v>
      </c>
      <c r="C28" s="35" t="s">
        <v>232</v>
      </c>
      <c r="D28" s="35" t="s">
        <v>745</v>
      </c>
      <c r="E28" s="35">
        <v>200</v>
      </c>
      <c r="F28" s="34">
        <v>42864</v>
      </c>
    </row>
    <row r="29" spans="1:6" ht="15.75" x14ac:dyDescent="0.25">
      <c r="A29" s="35">
        <v>558979</v>
      </c>
      <c r="B29" s="35" t="s">
        <v>150</v>
      </c>
      <c r="C29" s="35" t="s">
        <v>188</v>
      </c>
      <c r="D29" s="35" t="s">
        <v>746</v>
      </c>
      <c r="E29" s="35">
        <v>225</v>
      </c>
      <c r="F29" s="34">
        <v>42864</v>
      </c>
    </row>
    <row r="30" spans="1:6" ht="15.75" x14ac:dyDescent="0.25">
      <c r="A30" s="35">
        <v>558979</v>
      </c>
      <c r="B30" s="35" t="s">
        <v>150</v>
      </c>
      <c r="C30" s="35" t="s">
        <v>190</v>
      </c>
      <c r="D30" s="35" t="s">
        <v>747</v>
      </c>
      <c r="E30" s="35">
        <v>400</v>
      </c>
      <c r="F30" s="34">
        <v>42864</v>
      </c>
    </row>
    <row r="31" spans="1:6" ht="15.75" x14ac:dyDescent="0.25">
      <c r="A31" s="35">
        <v>558979</v>
      </c>
      <c r="B31" s="35" t="s">
        <v>150</v>
      </c>
      <c r="C31" s="35" t="s">
        <v>163</v>
      </c>
      <c r="D31" s="35" t="s">
        <v>748</v>
      </c>
      <c r="E31" s="35">
        <v>650</v>
      </c>
      <c r="F31" s="34">
        <v>42864</v>
      </c>
    </row>
    <row r="32" spans="1:6" ht="15.75" x14ac:dyDescent="0.25">
      <c r="A32" s="35">
        <v>526712</v>
      </c>
      <c r="B32" s="35" t="s">
        <v>14</v>
      </c>
      <c r="C32" s="35" t="s">
        <v>186</v>
      </c>
      <c r="D32" s="35" t="s">
        <v>749</v>
      </c>
      <c r="E32" s="35">
        <v>12.42</v>
      </c>
      <c r="F32" s="34">
        <v>42866</v>
      </c>
    </row>
    <row r="33" spans="1:6" ht="15.75" x14ac:dyDescent="0.25">
      <c r="A33" s="35">
        <v>526712</v>
      </c>
      <c r="B33" s="35" t="s">
        <v>14</v>
      </c>
      <c r="C33" s="35" t="s">
        <v>265</v>
      </c>
      <c r="D33" s="35" t="s">
        <v>750</v>
      </c>
      <c r="E33" s="35">
        <v>109.72</v>
      </c>
      <c r="F33" s="34">
        <v>42866</v>
      </c>
    </row>
    <row r="34" spans="1:6" ht="15.75" x14ac:dyDescent="0.25">
      <c r="A34" s="35">
        <v>526712</v>
      </c>
      <c r="B34" s="35" t="s">
        <v>14</v>
      </c>
      <c r="C34" s="35" t="s">
        <v>311</v>
      </c>
      <c r="D34" s="35" t="s">
        <v>751</v>
      </c>
      <c r="E34" s="35">
        <v>117.54</v>
      </c>
      <c r="F34" s="34">
        <v>42866</v>
      </c>
    </row>
    <row r="35" spans="1:6" ht="15.75" x14ac:dyDescent="0.25">
      <c r="A35" s="35">
        <v>526712</v>
      </c>
      <c r="B35" s="35" t="s">
        <v>14</v>
      </c>
      <c r="C35" s="35" t="s">
        <v>182</v>
      </c>
      <c r="D35" s="35" t="s">
        <v>752</v>
      </c>
      <c r="E35" s="35">
        <v>124.34</v>
      </c>
      <c r="F35" s="34">
        <v>42866</v>
      </c>
    </row>
    <row r="36" spans="1:6" ht="15.75" x14ac:dyDescent="0.25">
      <c r="A36" s="35">
        <v>526712</v>
      </c>
      <c r="B36" s="35" t="s">
        <v>14</v>
      </c>
      <c r="C36" s="35" t="s">
        <v>321</v>
      </c>
      <c r="D36" s="35" t="s">
        <v>753</v>
      </c>
      <c r="E36" s="35">
        <v>124.34</v>
      </c>
      <c r="F36" s="34">
        <v>42866</v>
      </c>
    </row>
    <row r="37" spans="1:6" ht="15.75" x14ac:dyDescent="0.25">
      <c r="A37" s="35">
        <v>526712</v>
      </c>
      <c r="B37" s="35" t="s">
        <v>14</v>
      </c>
      <c r="C37" s="35" t="s">
        <v>180</v>
      </c>
      <c r="D37" s="35" t="s">
        <v>754</v>
      </c>
      <c r="E37" s="35">
        <v>138.62</v>
      </c>
      <c r="F37" s="34">
        <v>42866</v>
      </c>
    </row>
    <row r="38" spans="1:6" ht="15.75" x14ac:dyDescent="0.25">
      <c r="A38" s="35">
        <v>526711</v>
      </c>
      <c r="B38" s="35" t="s">
        <v>755</v>
      </c>
      <c r="C38" s="35" t="s">
        <v>640</v>
      </c>
      <c r="D38" s="35" t="s">
        <v>756</v>
      </c>
      <c r="E38" s="35">
        <v>226.9</v>
      </c>
      <c r="F38" s="34">
        <v>42867</v>
      </c>
    </row>
    <row r="39" spans="1:6" ht="15.75" x14ac:dyDescent="0.25">
      <c r="A39" s="35">
        <v>526711</v>
      </c>
      <c r="B39" s="35" t="s">
        <v>755</v>
      </c>
      <c r="C39" s="35" t="s">
        <v>640</v>
      </c>
      <c r="D39" s="35" t="s">
        <v>756</v>
      </c>
      <c r="E39" s="35">
        <v>271.39999999999998</v>
      </c>
      <c r="F39" s="34">
        <v>42867</v>
      </c>
    </row>
    <row r="40" spans="1:6" ht="15.75" x14ac:dyDescent="0.25">
      <c r="A40" s="35">
        <v>526711</v>
      </c>
      <c r="B40" s="35" t="s">
        <v>755</v>
      </c>
      <c r="C40" s="35" t="s">
        <v>640</v>
      </c>
      <c r="D40" s="35" t="s">
        <v>756</v>
      </c>
      <c r="E40" s="35">
        <v>271.39999999999998</v>
      </c>
      <c r="F40" s="34">
        <v>42867</v>
      </c>
    </row>
    <row r="41" spans="1:6" ht="15.75" x14ac:dyDescent="0.25">
      <c r="A41" s="35">
        <v>526711</v>
      </c>
      <c r="B41" s="35" t="s">
        <v>755</v>
      </c>
      <c r="C41" s="35" t="s">
        <v>640</v>
      </c>
      <c r="D41" s="35" t="s">
        <v>756</v>
      </c>
      <c r="E41" s="35">
        <v>271.39999999999998</v>
      </c>
      <c r="F41" s="34">
        <v>42867</v>
      </c>
    </row>
    <row r="42" spans="1:6" ht="15.75" x14ac:dyDescent="0.25">
      <c r="A42" s="35">
        <v>526210</v>
      </c>
      <c r="B42" s="35" t="s">
        <v>639</v>
      </c>
      <c r="C42" s="35" t="s">
        <v>640</v>
      </c>
      <c r="D42" s="35" t="s">
        <v>756</v>
      </c>
      <c r="E42" s="35">
        <v>279.39999999999998</v>
      </c>
      <c r="F42" s="34">
        <v>42867</v>
      </c>
    </row>
    <row r="43" spans="1:6" ht="15.75" x14ac:dyDescent="0.25">
      <c r="A43" s="35">
        <v>526711</v>
      </c>
      <c r="B43" s="35" t="s">
        <v>755</v>
      </c>
      <c r="C43" s="35" t="s">
        <v>640</v>
      </c>
      <c r="D43" s="35" t="s">
        <v>756</v>
      </c>
      <c r="E43" s="35">
        <v>279.39999999999998</v>
      </c>
      <c r="F43" s="34">
        <v>42867</v>
      </c>
    </row>
    <row r="44" spans="1:6" ht="15.75" x14ac:dyDescent="0.25">
      <c r="A44" s="35">
        <v>526711</v>
      </c>
      <c r="B44" s="35" t="s">
        <v>755</v>
      </c>
      <c r="C44" s="35" t="s">
        <v>640</v>
      </c>
      <c r="D44" s="35" t="s">
        <v>756</v>
      </c>
      <c r="E44" s="35">
        <v>279.39999999999998</v>
      </c>
      <c r="F44" s="34">
        <v>42867</v>
      </c>
    </row>
    <row r="45" spans="1:6" ht="15.75" x14ac:dyDescent="0.25">
      <c r="A45" s="35">
        <v>526711</v>
      </c>
      <c r="B45" s="35" t="s">
        <v>755</v>
      </c>
      <c r="C45" s="35" t="s">
        <v>640</v>
      </c>
      <c r="D45" s="35" t="s">
        <v>756</v>
      </c>
      <c r="E45" s="35">
        <v>329.4</v>
      </c>
      <c r="F45" s="34">
        <v>42867</v>
      </c>
    </row>
    <row r="46" spans="1:6" ht="15.75" x14ac:dyDescent="0.25">
      <c r="A46" s="35">
        <v>526711</v>
      </c>
      <c r="B46" s="35" t="s">
        <v>755</v>
      </c>
      <c r="C46" s="35" t="s">
        <v>640</v>
      </c>
      <c r="D46" s="35" t="s">
        <v>756</v>
      </c>
      <c r="E46" s="35">
        <v>395.4</v>
      </c>
      <c r="F46" s="34">
        <v>42867</v>
      </c>
    </row>
    <row r="47" spans="1:6" ht="15.75" x14ac:dyDescent="0.25">
      <c r="A47" s="35">
        <v>526713</v>
      </c>
      <c r="B47" s="35" t="s">
        <v>757</v>
      </c>
      <c r="C47" s="35" t="s">
        <v>178</v>
      </c>
      <c r="D47" s="35" t="s">
        <v>758</v>
      </c>
      <c r="E47" s="35">
        <v>19.100000000000001</v>
      </c>
      <c r="F47" s="34">
        <v>42870</v>
      </c>
    </row>
    <row r="48" spans="1:6" ht="15.75" x14ac:dyDescent="0.25">
      <c r="A48" s="35">
        <v>526712</v>
      </c>
      <c r="B48" s="35" t="s">
        <v>14</v>
      </c>
      <c r="C48" s="35" t="s">
        <v>178</v>
      </c>
      <c r="D48" s="35" t="s">
        <v>758</v>
      </c>
      <c r="E48" s="35">
        <v>93</v>
      </c>
      <c r="F48" s="34">
        <v>42870</v>
      </c>
    </row>
    <row r="49" spans="1:6" ht="15.75" x14ac:dyDescent="0.25">
      <c r="A49" s="35">
        <v>526741</v>
      </c>
      <c r="B49" s="35" t="s">
        <v>23</v>
      </c>
      <c r="C49" s="35" t="s">
        <v>178</v>
      </c>
      <c r="D49" s="35" t="s">
        <v>758</v>
      </c>
      <c r="E49" s="35">
        <v>739.2</v>
      </c>
      <c r="F49" s="34">
        <v>42870</v>
      </c>
    </row>
    <row r="50" spans="1:6" ht="15.75" x14ac:dyDescent="0.25">
      <c r="A50" s="35">
        <v>526120</v>
      </c>
      <c r="B50" s="35" t="s">
        <v>217</v>
      </c>
      <c r="C50" s="35" t="s">
        <v>178</v>
      </c>
      <c r="D50" s="35" t="s">
        <v>759</v>
      </c>
      <c r="E50" s="35">
        <v>64.73</v>
      </c>
      <c r="F50" s="34">
        <v>42871</v>
      </c>
    </row>
    <row r="51" spans="1:6" ht="15.75" x14ac:dyDescent="0.25">
      <c r="A51" s="35">
        <v>526120</v>
      </c>
      <c r="B51" s="35" t="s">
        <v>217</v>
      </c>
      <c r="C51" s="35" t="s">
        <v>178</v>
      </c>
      <c r="D51" s="35" t="s">
        <v>760</v>
      </c>
      <c r="E51" s="35">
        <v>86.65</v>
      </c>
      <c r="F51" s="34">
        <v>42871</v>
      </c>
    </row>
    <row r="52" spans="1:6" ht="15.75" x14ac:dyDescent="0.25">
      <c r="A52" s="35">
        <v>526250</v>
      </c>
      <c r="B52" s="35" t="s">
        <v>664</v>
      </c>
      <c r="C52" s="35" t="s">
        <v>178</v>
      </c>
      <c r="D52" s="35" t="s">
        <v>761</v>
      </c>
      <c r="E52" s="35">
        <v>64.400000000000006</v>
      </c>
      <c r="F52" s="34">
        <v>42874</v>
      </c>
    </row>
    <row r="53" spans="1:6" ht="15.75" x14ac:dyDescent="0.25">
      <c r="A53" s="35">
        <v>526240</v>
      </c>
      <c r="B53" s="35" t="s">
        <v>668</v>
      </c>
      <c r="C53" s="35" t="s">
        <v>178</v>
      </c>
      <c r="D53" s="35" t="s">
        <v>761</v>
      </c>
      <c r="E53" s="35">
        <v>246.4</v>
      </c>
      <c r="F53" s="34">
        <v>42874</v>
      </c>
    </row>
    <row r="54" spans="1:6" ht="15.75" x14ac:dyDescent="0.25">
      <c r="A54" s="35">
        <v>527120</v>
      </c>
      <c r="B54" s="35" t="s">
        <v>143</v>
      </c>
      <c r="C54" s="35" t="s">
        <v>144</v>
      </c>
      <c r="D54" s="35" t="s">
        <v>762</v>
      </c>
      <c r="E54" s="35">
        <v>14.5</v>
      </c>
      <c r="F54" s="34">
        <v>42879</v>
      </c>
    </row>
    <row r="55" spans="1:6" ht="15.75" x14ac:dyDescent="0.25">
      <c r="A55" s="35">
        <v>487110</v>
      </c>
      <c r="B55" s="35" t="s">
        <v>36</v>
      </c>
      <c r="C55" s="35" t="s">
        <v>36</v>
      </c>
      <c r="D55" s="35" t="s">
        <v>763</v>
      </c>
      <c r="E55" s="35">
        <v>-6045.2</v>
      </c>
      <c r="F55" s="34">
        <v>42881</v>
      </c>
    </row>
    <row r="56" spans="1:6" ht="15.75" x14ac:dyDescent="0.25">
      <c r="A56" s="35">
        <v>487110</v>
      </c>
      <c r="B56" s="35" t="s">
        <v>36</v>
      </c>
      <c r="C56" s="35" t="s">
        <v>36</v>
      </c>
      <c r="D56" s="35" t="s">
        <v>763</v>
      </c>
      <c r="E56" s="35">
        <v>-5527.94</v>
      </c>
      <c r="F56" s="34">
        <v>42881</v>
      </c>
    </row>
    <row r="57" spans="1:6" ht="15.75" x14ac:dyDescent="0.25">
      <c r="A57" s="35">
        <v>587890</v>
      </c>
      <c r="B57" s="35" t="s">
        <v>32</v>
      </c>
      <c r="C57" s="35" t="s">
        <v>32</v>
      </c>
      <c r="D57" s="35" t="s">
        <v>763</v>
      </c>
      <c r="E57" s="35">
        <v>-1575</v>
      </c>
      <c r="F57" s="34">
        <v>42881</v>
      </c>
    </row>
    <row r="58" spans="1:6" ht="15.75" x14ac:dyDescent="0.25">
      <c r="A58" s="35">
        <v>487110</v>
      </c>
      <c r="B58" s="35" t="s">
        <v>36</v>
      </c>
      <c r="C58" s="35" t="s">
        <v>36</v>
      </c>
      <c r="D58" s="35" t="s">
        <v>763</v>
      </c>
      <c r="E58" s="35">
        <v>-1029.75</v>
      </c>
      <c r="F58" s="34">
        <v>42881</v>
      </c>
    </row>
    <row r="59" spans="1:6" ht="15.75" x14ac:dyDescent="0.25">
      <c r="A59" s="35">
        <v>587890</v>
      </c>
      <c r="B59" s="35" t="s">
        <v>32</v>
      </c>
      <c r="C59" s="35" t="s">
        <v>32</v>
      </c>
      <c r="D59" s="35" t="s">
        <v>763</v>
      </c>
      <c r="E59" s="35">
        <v>-772</v>
      </c>
      <c r="F59" s="34">
        <v>42881</v>
      </c>
    </row>
    <row r="60" spans="1:6" ht="15.75" x14ac:dyDescent="0.25">
      <c r="A60" s="35">
        <v>487110</v>
      </c>
      <c r="B60" s="35" t="s">
        <v>36</v>
      </c>
      <c r="C60" s="35" t="s">
        <v>36</v>
      </c>
      <c r="D60" s="35" t="s">
        <v>763</v>
      </c>
      <c r="E60" s="35">
        <v>-557.75</v>
      </c>
      <c r="F60" s="34">
        <v>42881</v>
      </c>
    </row>
    <row r="61" spans="1:6" ht="15.75" x14ac:dyDescent="0.25">
      <c r="A61" s="35">
        <v>487110</v>
      </c>
      <c r="B61" s="35" t="s">
        <v>36</v>
      </c>
      <c r="C61" s="35" t="s">
        <v>36</v>
      </c>
      <c r="D61" s="35" t="s">
        <v>763</v>
      </c>
      <c r="E61" s="35">
        <v>-557.75</v>
      </c>
      <c r="F61" s="34">
        <v>42881</v>
      </c>
    </row>
    <row r="62" spans="1:6" ht="15.75" x14ac:dyDescent="0.25">
      <c r="A62" s="35">
        <v>487110</v>
      </c>
      <c r="B62" s="35" t="s">
        <v>36</v>
      </c>
      <c r="C62" s="35" t="s">
        <v>36</v>
      </c>
      <c r="D62" s="35" t="s">
        <v>763</v>
      </c>
      <c r="E62" s="35">
        <v>-135.24</v>
      </c>
      <c r="F62" s="34">
        <v>42881</v>
      </c>
    </row>
    <row r="63" spans="1:6" ht="15.75" x14ac:dyDescent="0.25">
      <c r="A63" s="35">
        <v>487110</v>
      </c>
      <c r="B63" s="35" t="s">
        <v>36</v>
      </c>
      <c r="C63" s="35" t="s">
        <v>36</v>
      </c>
      <c r="D63" s="35" t="s">
        <v>763</v>
      </c>
      <c r="E63" s="35">
        <v>-51.27</v>
      </c>
      <c r="F63" s="34">
        <v>42881</v>
      </c>
    </row>
    <row r="64" spans="1:6" ht="15.75" x14ac:dyDescent="0.25">
      <c r="A64" s="35">
        <v>487110</v>
      </c>
      <c r="B64" s="35" t="s">
        <v>36</v>
      </c>
      <c r="C64" s="35" t="s">
        <v>36</v>
      </c>
      <c r="D64" s="35" t="s">
        <v>763</v>
      </c>
      <c r="E64" s="35">
        <v>-23.24</v>
      </c>
      <c r="F64" s="34">
        <v>42881</v>
      </c>
    </row>
    <row r="65" spans="1:6" ht="15.75" x14ac:dyDescent="0.25">
      <c r="A65" s="35">
        <v>441720</v>
      </c>
      <c r="B65" s="35" t="s">
        <v>764</v>
      </c>
      <c r="C65" s="35" t="s">
        <v>764</v>
      </c>
      <c r="D65" s="35" t="s">
        <v>763</v>
      </c>
      <c r="E65" s="35">
        <v>23.24</v>
      </c>
      <c r="F65" s="34">
        <v>42881</v>
      </c>
    </row>
    <row r="66" spans="1:6" ht="15.75" x14ac:dyDescent="0.25">
      <c r="A66" s="35">
        <v>441720</v>
      </c>
      <c r="B66" s="35" t="s">
        <v>764</v>
      </c>
      <c r="C66" s="35" t="s">
        <v>764</v>
      </c>
      <c r="D66" s="35" t="s">
        <v>763</v>
      </c>
      <c r="E66" s="35">
        <v>51.27</v>
      </c>
      <c r="F66" s="34">
        <v>42881</v>
      </c>
    </row>
    <row r="67" spans="1:6" ht="15.75" x14ac:dyDescent="0.25">
      <c r="A67" s="35">
        <v>441720</v>
      </c>
      <c r="B67" s="35" t="s">
        <v>764</v>
      </c>
      <c r="C67" s="35" t="s">
        <v>764</v>
      </c>
      <c r="D67" s="35" t="s">
        <v>763</v>
      </c>
      <c r="E67" s="35">
        <v>135.24</v>
      </c>
      <c r="F67" s="34">
        <v>42881</v>
      </c>
    </row>
    <row r="68" spans="1:6" ht="15.75" x14ac:dyDescent="0.25">
      <c r="A68" s="35">
        <v>441720</v>
      </c>
      <c r="B68" s="35" t="s">
        <v>764</v>
      </c>
      <c r="C68" s="35" t="s">
        <v>764</v>
      </c>
      <c r="D68" s="35" t="s">
        <v>763</v>
      </c>
      <c r="E68" s="35">
        <v>557.75</v>
      </c>
      <c r="F68" s="34">
        <v>42881</v>
      </c>
    </row>
    <row r="69" spans="1:6" ht="15.75" x14ac:dyDescent="0.25">
      <c r="A69" s="35">
        <v>441720</v>
      </c>
      <c r="B69" s="35" t="s">
        <v>764</v>
      </c>
      <c r="C69" s="35" t="s">
        <v>764</v>
      </c>
      <c r="D69" s="35" t="s">
        <v>763</v>
      </c>
      <c r="E69" s="35">
        <v>557.75</v>
      </c>
      <c r="F69" s="34">
        <v>42881</v>
      </c>
    </row>
    <row r="70" spans="1:6" ht="15.75" x14ac:dyDescent="0.25">
      <c r="A70" s="35">
        <v>569468</v>
      </c>
      <c r="B70" s="35" t="s">
        <v>765</v>
      </c>
      <c r="C70" s="35" t="s">
        <v>765</v>
      </c>
      <c r="D70" s="35" t="s">
        <v>763</v>
      </c>
      <c r="E70" s="35">
        <v>772</v>
      </c>
      <c r="F70" s="34">
        <v>42881</v>
      </c>
    </row>
    <row r="71" spans="1:6" ht="15.75" x14ac:dyDescent="0.25">
      <c r="A71" s="35">
        <v>441720</v>
      </c>
      <c r="B71" s="35" t="s">
        <v>764</v>
      </c>
      <c r="C71" s="35" t="s">
        <v>764</v>
      </c>
      <c r="D71" s="35" t="s">
        <v>763</v>
      </c>
      <c r="E71" s="35">
        <v>1029.75</v>
      </c>
      <c r="F71" s="34">
        <v>42881</v>
      </c>
    </row>
    <row r="72" spans="1:6" ht="15.75" x14ac:dyDescent="0.25">
      <c r="A72" s="35">
        <v>569468</v>
      </c>
      <c r="B72" s="35" t="s">
        <v>765</v>
      </c>
      <c r="C72" s="35" t="s">
        <v>765</v>
      </c>
      <c r="D72" s="35" t="s">
        <v>763</v>
      </c>
      <c r="E72" s="35">
        <v>1575</v>
      </c>
      <c r="F72" s="34">
        <v>42881</v>
      </c>
    </row>
    <row r="73" spans="1:6" ht="15.75" x14ac:dyDescent="0.25">
      <c r="A73" s="35">
        <v>441720</v>
      </c>
      <c r="B73" s="35" t="s">
        <v>764</v>
      </c>
      <c r="C73" s="35" t="s">
        <v>764</v>
      </c>
      <c r="D73" s="35" t="s">
        <v>763</v>
      </c>
      <c r="E73" s="35">
        <v>5527.94</v>
      </c>
      <c r="F73" s="34">
        <v>42881</v>
      </c>
    </row>
    <row r="74" spans="1:6" ht="15.75" x14ac:dyDescent="0.25">
      <c r="A74" s="35">
        <v>441720</v>
      </c>
      <c r="B74" s="35" t="s">
        <v>764</v>
      </c>
      <c r="C74" s="35" t="s">
        <v>764</v>
      </c>
      <c r="D74" s="35" t="s">
        <v>763</v>
      </c>
      <c r="E74" s="35">
        <v>6045.2</v>
      </c>
      <c r="F74" s="34">
        <v>42881</v>
      </c>
    </row>
    <row r="75" spans="1:6" ht="15.75" x14ac:dyDescent="0.25">
      <c r="A75" s="35">
        <v>515130</v>
      </c>
      <c r="B75" s="35" t="s">
        <v>10</v>
      </c>
      <c r="C75" s="35" t="s">
        <v>165</v>
      </c>
      <c r="D75" s="35" t="s">
        <v>766</v>
      </c>
      <c r="E75" s="35">
        <v>97.04</v>
      </c>
      <c r="F75" s="34">
        <v>42886</v>
      </c>
    </row>
    <row r="76" spans="1:6" ht="15.75" x14ac:dyDescent="0.25">
      <c r="A76" s="35">
        <v>515120</v>
      </c>
      <c r="B76" s="35" t="s">
        <v>9</v>
      </c>
      <c r="C76" s="35" t="s">
        <v>165</v>
      </c>
      <c r="D76" s="35" t="s">
        <v>766</v>
      </c>
      <c r="E76" s="35">
        <v>414.9</v>
      </c>
      <c r="F76" s="34">
        <v>42886</v>
      </c>
    </row>
    <row r="77" spans="1:6" ht="15.75" x14ac:dyDescent="0.25">
      <c r="A77" s="35">
        <v>515530</v>
      </c>
      <c r="B77" s="35" t="s">
        <v>13</v>
      </c>
      <c r="C77" s="35" t="s">
        <v>165</v>
      </c>
      <c r="D77" s="35" t="s">
        <v>766</v>
      </c>
      <c r="E77" s="35">
        <v>427.92</v>
      </c>
      <c r="F77" s="34">
        <v>42886</v>
      </c>
    </row>
    <row r="78" spans="1:6" ht="15.75" x14ac:dyDescent="0.25">
      <c r="A78" s="35">
        <v>515420</v>
      </c>
      <c r="B78" s="35" t="s">
        <v>12</v>
      </c>
      <c r="C78" s="35" t="s">
        <v>165</v>
      </c>
      <c r="D78" s="35" t="s">
        <v>766</v>
      </c>
      <c r="E78" s="35">
        <v>442.66</v>
      </c>
      <c r="F78" s="34">
        <v>42886</v>
      </c>
    </row>
    <row r="79" spans="1:6" ht="15.75" x14ac:dyDescent="0.25">
      <c r="A79" s="35">
        <v>515410</v>
      </c>
      <c r="B79" s="35" t="s">
        <v>11</v>
      </c>
      <c r="C79" s="35" t="s">
        <v>165</v>
      </c>
      <c r="D79" s="35" t="s">
        <v>766</v>
      </c>
      <c r="E79" s="35">
        <v>473.1</v>
      </c>
      <c r="F79" s="34">
        <v>42886</v>
      </c>
    </row>
    <row r="80" spans="1:6" ht="15.75" x14ac:dyDescent="0.25">
      <c r="A80" s="35">
        <v>511120</v>
      </c>
      <c r="B80" s="35" t="s">
        <v>6</v>
      </c>
      <c r="C80" s="35" t="s">
        <v>165</v>
      </c>
      <c r="D80" s="35" t="s">
        <v>766</v>
      </c>
      <c r="E80" s="35">
        <v>6916.64</v>
      </c>
      <c r="F80" s="34">
        <v>42886</v>
      </c>
    </row>
  </sheetData>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47C9B-4669-4869-9EBB-94E1DA6CCEF0}">
  <dimension ref="A1:F109"/>
  <sheetViews>
    <sheetView workbookViewId="0">
      <selection activeCell="D15" sqref="D15"/>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587890</v>
      </c>
      <c r="B2" s="35" t="s">
        <v>32</v>
      </c>
      <c r="C2" s="35" t="s">
        <v>350</v>
      </c>
      <c r="D2" s="35" t="s">
        <v>643</v>
      </c>
      <c r="E2" s="35">
        <v>1595</v>
      </c>
      <c r="F2" s="34">
        <v>42826</v>
      </c>
    </row>
    <row r="3" spans="1:6" ht="15.75" x14ac:dyDescent="0.25">
      <c r="A3" s="35">
        <v>526150</v>
      </c>
      <c r="B3" s="35" t="s">
        <v>258</v>
      </c>
      <c r="C3" s="35" t="s">
        <v>178</v>
      </c>
      <c r="D3" s="35" t="s">
        <v>644</v>
      </c>
      <c r="E3" s="35">
        <v>37.4</v>
      </c>
      <c r="F3" s="34">
        <v>42831</v>
      </c>
    </row>
    <row r="4" spans="1:6" ht="15.75" x14ac:dyDescent="0.25">
      <c r="A4" s="35">
        <v>526712</v>
      </c>
      <c r="B4" s="35" t="s">
        <v>14</v>
      </c>
      <c r="C4" s="35" t="s">
        <v>288</v>
      </c>
      <c r="D4" s="35" t="s">
        <v>645</v>
      </c>
      <c r="E4" s="35">
        <v>83.46</v>
      </c>
      <c r="F4" s="34">
        <v>42831</v>
      </c>
    </row>
    <row r="5" spans="1:6" ht="15.75" x14ac:dyDescent="0.25">
      <c r="A5" s="35">
        <v>526120</v>
      </c>
      <c r="B5" s="35" t="s">
        <v>217</v>
      </c>
      <c r="C5" s="35" t="s">
        <v>178</v>
      </c>
      <c r="D5" s="35" t="s">
        <v>644</v>
      </c>
      <c r="E5" s="35">
        <v>107.54</v>
      </c>
      <c r="F5" s="34">
        <v>42831</v>
      </c>
    </row>
    <row r="6" spans="1:6" ht="15.75" x14ac:dyDescent="0.25">
      <c r="A6" s="35">
        <v>526712</v>
      </c>
      <c r="B6" s="35" t="s">
        <v>14</v>
      </c>
      <c r="C6" s="35" t="s">
        <v>288</v>
      </c>
      <c r="D6" s="35" t="s">
        <v>646</v>
      </c>
      <c r="E6" s="35">
        <v>110.4</v>
      </c>
      <c r="F6" s="34">
        <v>42831</v>
      </c>
    </row>
    <row r="7" spans="1:6" ht="15.75" x14ac:dyDescent="0.25">
      <c r="A7" s="35">
        <v>526712</v>
      </c>
      <c r="B7" s="35" t="s">
        <v>14</v>
      </c>
      <c r="C7" s="35" t="s">
        <v>500</v>
      </c>
      <c r="D7" s="35" t="s">
        <v>647</v>
      </c>
      <c r="E7" s="35">
        <v>110.4</v>
      </c>
      <c r="F7" s="34">
        <v>42831</v>
      </c>
    </row>
    <row r="8" spans="1:6" ht="15.75" x14ac:dyDescent="0.25">
      <c r="A8" s="35">
        <v>526712</v>
      </c>
      <c r="B8" s="35" t="s">
        <v>14</v>
      </c>
      <c r="C8" s="35" t="s">
        <v>507</v>
      </c>
      <c r="D8" s="35" t="s">
        <v>648</v>
      </c>
      <c r="E8" s="35">
        <v>113.8</v>
      </c>
      <c r="F8" s="34">
        <v>42831</v>
      </c>
    </row>
    <row r="9" spans="1:6" ht="15.75" x14ac:dyDescent="0.25">
      <c r="A9" s="35">
        <v>526712</v>
      </c>
      <c r="B9" s="35" t="s">
        <v>14</v>
      </c>
      <c r="C9" s="35" t="s">
        <v>190</v>
      </c>
      <c r="D9" s="35" t="s">
        <v>649</v>
      </c>
      <c r="E9" s="35">
        <v>117.88</v>
      </c>
      <c r="F9" s="34">
        <v>42831</v>
      </c>
    </row>
    <row r="10" spans="1:6" ht="15.75" x14ac:dyDescent="0.25">
      <c r="A10" s="35">
        <v>526712</v>
      </c>
      <c r="B10" s="35" t="s">
        <v>14</v>
      </c>
      <c r="C10" s="35" t="s">
        <v>411</v>
      </c>
      <c r="D10" s="35" t="s">
        <v>650</v>
      </c>
      <c r="E10" s="35">
        <v>119.24</v>
      </c>
      <c r="F10" s="34">
        <v>42831</v>
      </c>
    </row>
    <row r="11" spans="1:6" ht="15.75" x14ac:dyDescent="0.25">
      <c r="A11" s="35">
        <v>526712</v>
      </c>
      <c r="B11" s="35" t="s">
        <v>14</v>
      </c>
      <c r="C11" s="35" t="s">
        <v>409</v>
      </c>
      <c r="D11" s="35" t="s">
        <v>651</v>
      </c>
      <c r="E11" s="35">
        <v>123.66</v>
      </c>
      <c r="F11" s="34">
        <v>42831</v>
      </c>
    </row>
    <row r="12" spans="1:6" ht="15.75" x14ac:dyDescent="0.25">
      <c r="A12" s="35">
        <v>526712</v>
      </c>
      <c r="B12" s="35" t="s">
        <v>14</v>
      </c>
      <c r="C12" s="35" t="s">
        <v>652</v>
      </c>
      <c r="D12" s="35" t="s">
        <v>653</v>
      </c>
      <c r="E12" s="35">
        <v>130.12</v>
      </c>
      <c r="F12" s="34">
        <v>42831</v>
      </c>
    </row>
    <row r="13" spans="1:6" ht="15.75" x14ac:dyDescent="0.25">
      <c r="A13" s="35">
        <v>526712</v>
      </c>
      <c r="B13" s="35" t="s">
        <v>14</v>
      </c>
      <c r="C13" s="35" t="s">
        <v>367</v>
      </c>
      <c r="D13" s="35" t="s">
        <v>654</v>
      </c>
      <c r="E13" s="35">
        <v>169.56</v>
      </c>
      <c r="F13" s="34">
        <v>42831</v>
      </c>
    </row>
    <row r="14" spans="1:6" ht="15.75" x14ac:dyDescent="0.25">
      <c r="A14" s="35">
        <v>526712</v>
      </c>
      <c r="B14" s="35" t="s">
        <v>14</v>
      </c>
      <c r="C14" s="35" t="s">
        <v>342</v>
      </c>
      <c r="D14" s="35" t="s">
        <v>655</v>
      </c>
      <c r="E14" s="35">
        <v>41.74</v>
      </c>
      <c r="F14" s="34">
        <v>42832</v>
      </c>
    </row>
    <row r="15" spans="1:6" ht="15.75" x14ac:dyDescent="0.25">
      <c r="A15" s="35">
        <v>526712</v>
      </c>
      <c r="B15" s="35" t="s">
        <v>14</v>
      </c>
      <c r="C15" s="35" t="s">
        <v>656</v>
      </c>
      <c r="D15" s="35" t="s">
        <v>657</v>
      </c>
      <c r="E15" s="35">
        <v>99.52</v>
      </c>
      <c r="F15" s="34">
        <v>42832</v>
      </c>
    </row>
    <row r="16" spans="1:6" ht="15.75" x14ac:dyDescent="0.25">
      <c r="A16" s="35">
        <v>526712</v>
      </c>
      <c r="B16" s="35" t="s">
        <v>14</v>
      </c>
      <c r="C16" s="35" t="s">
        <v>323</v>
      </c>
      <c r="D16" s="35" t="s">
        <v>658</v>
      </c>
      <c r="E16" s="35">
        <v>110.4</v>
      </c>
      <c r="F16" s="34">
        <v>42832</v>
      </c>
    </row>
    <row r="17" spans="1:6" ht="15.75" x14ac:dyDescent="0.25">
      <c r="A17" s="35">
        <v>526712</v>
      </c>
      <c r="B17" s="35" t="s">
        <v>14</v>
      </c>
      <c r="C17" s="35" t="s">
        <v>309</v>
      </c>
      <c r="D17" s="35" t="s">
        <v>659</v>
      </c>
      <c r="E17" s="35">
        <v>117.88</v>
      </c>
      <c r="F17" s="34">
        <v>42832</v>
      </c>
    </row>
    <row r="18" spans="1:6" ht="15.75" x14ac:dyDescent="0.25">
      <c r="A18" s="35">
        <v>526712</v>
      </c>
      <c r="B18" s="35" t="s">
        <v>14</v>
      </c>
      <c r="C18" s="35" t="s">
        <v>184</v>
      </c>
      <c r="D18" s="35" t="s">
        <v>660</v>
      </c>
      <c r="E18" s="35">
        <v>117.88</v>
      </c>
      <c r="F18" s="34">
        <v>42832</v>
      </c>
    </row>
    <row r="19" spans="1:6" ht="15.75" x14ac:dyDescent="0.25">
      <c r="A19" s="35">
        <v>526712</v>
      </c>
      <c r="B19" s="35" t="s">
        <v>14</v>
      </c>
      <c r="C19" s="35" t="s">
        <v>188</v>
      </c>
      <c r="D19" s="35" t="s">
        <v>661</v>
      </c>
      <c r="E19" s="35">
        <v>149.16</v>
      </c>
      <c r="F19" s="34">
        <v>42832</v>
      </c>
    </row>
    <row r="20" spans="1:6" ht="15.75" x14ac:dyDescent="0.25">
      <c r="A20" s="35">
        <v>526712</v>
      </c>
      <c r="B20" s="35" t="s">
        <v>14</v>
      </c>
      <c r="C20" s="35" t="s">
        <v>232</v>
      </c>
      <c r="D20" s="35" t="s">
        <v>662</v>
      </c>
      <c r="E20" s="35">
        <v>149.16</v>
      </c>
      <c r="F20" s="34">
        <v>42832</v>
      </c>
    </row>
    <row r="21" spans="1:6" ht="15.75" x14ac:dyDescent="0.25">
      <c r="A21" s="35">
        <v>526712</v>
      </c>
      <c r="B21" s="35" t="s">
        <v>14</v>
      </c>
      <c r="C21" s="35" t="s">
        <v>180</v>
      </c>
      <c r="D21" s="35" t="s">
        <v>663</v>
      </c>
      <c r="E21" s="35">
        <v>158.34</v>
      </c>
      <c r="F21" s="34">
        <v>42832</v>
      </c>
    </row>
    <row r="22" spans="1:6" ht="15.75" x14ac:dyDescent="0.25">
      <c r="A22" s="35">
        <v>526250</v>
      </c>
      <c r="B22" s="35" t="s">
        <v>664</v>
      </c>
      <c r="C22" s="35" t="s">
        <v>178</v>
      </c>
      <c r="D22" s="35" t="s">
        <v>665</v>
      </c>
      <c r="E22" s="35">
        <v>75.3</v>
      </c>
      <c r="F22" s="34">
        <v>42833</v>
      </c>
    </row>
    <row r="23" spans="1:6" ht="15.75" x14ac:dyDescent="0.25">
      <c r="A23" s="35">
        <v>526220</v>
      </c>
      <c r="B23" s="35" t="s">
        <v>666</v>
      </c>
      <c r="C23" s="35" t="s">
        <v>178</v>
      </c>
      <c r="D23" s="35" t="s">
        <v>665</v>
      </c>
      <c r="E23" s="35">
        <v>113.68</v>
      </c>
      <c r="F23" s="34">
        <v>42833</v>
      </c>
    </row>
    <row r="24" spans="1:6" ht="15.75" x14ac:dyDescent="0.25">
      <c r="A24" s="35">
        <v>528320</v>
      </c>
      <c r="B24" s="35" t="s">
        <v>667</v>
      </c>
      <c r="C24" s="35" t="s">
        <v>178</v>
      </c>
      <c r="D24" s="35" t="s">
        <v>665</v>
      </c>
      <c r="E24" s="35">
        <v>490</v>
      </c>
      <c r="F24" s="34">
        <v>42833</v>
      </c>
    </row>
    <row r="25" spans="1:6" ht="15.75" x14ac:dyDescent="0.25">
      <c r="A25" s="35">
        <v>526240</v>
      </c>
      <c r="B25" s="35" t="s">
        <v>668</v>
      </c>
      <c r="C25" s="35" t="s">
        <v>178</v>
      </c>
      <c r="D25" s="35" t="s">
        <v>665</v>
      </c>
      <c r="E25" s="35">
        <v>696.99</v>
      </c>
      <c r="F25" s="34">
        <v>42833</v>
      </c>
    </row>
    <row r="26" spans="1:6" ht="15.75" x14ac:dyDescent="0.25">
      <c r="A26" s="35">
        <v>538110</v>
      </c>
      <c r="B26" s="35" t="s">
        <v>210</v>
      </c>
      <c r="C26" s="35" t="s">
        <v>209</v>
      </c>
      <c r="D26" s="35">
        <v>2000002936</v>
      </c>
      <c r="E26" s="35">
        <v>0</v>
      </c>
      <c r="F26" s="34">
        <v>42835</v>
      </c>
    </row>
    <row r="27" spans="1:6" ht="15.75" x14ac:dyDescent="0.25">
      <c r="A27" s="35">
        <v>538110</v>
      </c>
      <c r="B27" s="35" t="s">
        <v>210</v>
      </c>
      <c r="C27" s="35" t="s">
        <v>209</v>
      </c>
      <c r="D27" s="35">
        <v>2000002936</v>
      </c>
      <c r="E27" s="35">
        <v>0</v>
      </c>
      <c r="F27" s="34">
        <v>42835</v>
      </c>
    </row>
    <row r="28" spans="1:6" ht="15.75" x14ac:dyDescent="0.25">
      <c r="A28" s="35">
        <v>538110</v>
      </c>
      <c r="B28" s="35" t="s">
        <v>210</v>
      </c>
      <c r="C28" s="35" t="s">
        <v>209</v>
      </c>
      <c r="D28" s="35">
        <v>2000002936</v>
      </c>
      <c r="E28" s="35">
        <v>0</v>
      </c>
      <c r="F28" s="34">
        <v>42835</v>
      </c>
    </row>
    <row r="29" spans="1:6" ht="15.75" x14ac:dyDescent="0.25">
      <c r="A29" s="35">
        <v>538110</v>
      </c>
      <c r="B29" s="35" t="s">
        <v>210</v>
      </c>
      <c r="C29" s="35" t="s">
        <v>209</v>
      </c>
      <c r="D29" s="35">
        <v>2000002936</v>
      </c>
      <c r="E29" s="35">
        <v>0</v>
      </c>
      <c r="F29" s="34">
        <v>42835</v>
      </c>
    </row>
    <row r="30" spans="1:6" ht="15.75" x14ac:dyDescent="0.25">
      <c r="A30" s="35">
        <v>538110</v>
      </c>
      <c r="B30" s="35" t="s">
        <v>210</v>
      </c>
      <c r="C30" s="35" t="s">
        <v>209</v>
      </c>
      <c r="D30" s="35">
        <v>2000002936</v>
      </c>
      <c r="E30" s="35">
        <v>0</v>
      </c>
      <c r="F30" s="34">
        <v>42835</v>
      </c>
    </row>
    <row r="31" spans="1:6" ht="15.75" x14ac:dyDescent="0.25">
      <c r="A31" s="35">
        <v>558914</v>
      </c>
      <c r="B31" s="35" t="s">
        <v>552</v>
      </c>
      <c r="C31" s="35" t="s">
        <v>209</v>
      </c>
      <c r="D31" s="35">
        <v>2000002936</v>
      </c>
      <c r="E31" s="35">
        <v>0</v>
      </c>
      <c r="F31" s="34">
        <v>42835</v>
      </c>
    </row>
    <row r="32" spans="1:6" ht="15.75" x14ac:dyDescent="0.25">
      <c r="A32" s="35">
        <v>558914</v>
      </c>
      <c r="B32" s="35" t="s">
        <v>552</v>
      </c>
      <c r="C32" s="35" t="s">
        <v>209</v>
      </c>
      <c r="D32" s="35">
        <v>2000002936</v>
      </c>
      <c r="E32" s="35">
        <v>0</v>
      </c>
      <c r="F32" s="34">
        <v>42835</v>
      </c>
    </row>
    <row r="33" spans="1:6" ht="15.75" x14ac:dyDescent="0.25">
      <c r="A33" s="35">
        <v>558914</v>
      </c>
      <c r="B33" s="35" t="s">
        <v>552</v>
      </c>
      <c r="C33" s="35" t="s">
        <v>209</v>
      </c>
      <c r="D33" s="35">
        <v>2000002936</v>
      </c>
      <c r="E33" s="35">
        <v>0</v>
      </c>
      <c r="F33" s="34">
        <v>42835</v>
      </c>
    </row>
    <row r="34" spans="1:6" ht="15.75" x14ac:dyDescent="0.25">
      <c r="A34" s="35">
        <v>558914</v>
      </c>
      <c r="B34" s="35" t="s">
        <v>552</v>
      </c>
      <c r="C34" s="35" t="s">
        <v>209</v>
      </c>
      <c r="D34" s="35">
        <v>2000002936</v>
      </c>
      <c r="E34" s="35">
        <v>30</v>
      </c>
      <c r="F34" s="34">
        <v>42835</v>
      </c>
    </row>
    <row r="35" spans="1:6" ht="15.75" x14ac:dyDescent="0.25">
      <c r="A35" s="35">
        <v>558914</v>
      </c>
      <c r="B35" s="35" t="s">
        <v>552</v>
      </c>
      <c r="C35" s="35" t="s">
        <v>209</v>
      </c>
      <c r="D35" s="35">
        <v>2000002936</v>
      </c>
      <c r="E35" s="35">
        <v>40</v>
      </c>
      <c r="F35" s="34">
        <v>42835</v>
      </c>
    </row>
    <row r="36" spans="1:6" ht="15.75" x14ac:dyDescent="0.25">
      <c r="A36" s="35">
        <v>558914</v>
      </c>
      <c r="B36" s="35" t="s">
        <v>552</v>
      </c>
      <c r="C36" s="35" t="s">
        <v>209</v>
      </c>
      <c r="D36" s="35">
        <v>2000002936</v>
      </c>
      <c r="E36" s="35">
        <v>50</v>
      </c>
      <c r="F36" s="34">
        <v>42835</v>
      </c>
    </row>
    <row r="37" spans="1:6" ht="15.75" x14ac:dyDescent="0.25">
      <c r="A37" s="35">
        <v>538110</v>
      </c>
      <c r="B37" s="35" t="s">
        <v>210</v>
      </c>
      <c r="C37" s="35" t="s">
        <v>209</v>
      </c>
      <c r="D37" s="35">
        <v>2000002936</v>
      </c>
      <c r="E37" s="35">
        <v>252</v>
      </c>
      <c r="F37" s="34">
        <v>42835</v>
      </c>
    </row>
    <row r="38" spans="1:6" ht="15.75" x14ac:dyDescent="0.25">
      <c r="A38" s="35">
        <v>538110</v>
      </c>
      <c r="B38" s="35" t="s">
        <v>210</v>
      </c>
      <c r="C38" s="35" t="s">
        <v>209</v>
      </c>
      <c r="D38" s="35">
        <v>2000002936</v>
      </c>
      <c r="E38" s="35">
        <v>322.5</v>
      </c>
      <c r="F38" s="34">
        <v>42835</v>
      </c>
    </row>
    <row r="39" spans="1:6" ht="15.75" x14ac:dyDescent="0.25">
      <c r="A39" s="35">
        <v>538110</v>
      </c>
      <c r="B39" s="35" t="s">
        <v>210</v>
      </c>
      <c r="C39" s="35" t="s">
        <v>209</v>
      </c>
      <c r="D39" s="35">
        <v>2000002936</v>
      </c>
      <c r="E39" s="35">
        <v>368</v>
      </c>
      <c r="F39" s="34">
        <v>42835</v>
      </c>
    </row>
    <row r="40" spans="1:6" ht="15.75" x14ac:dyDescent="0.25">
      <c r="A40" s="35">
        <v>538110</v>
      </c>
      <c r="B40" s="35" t="s">
        <v>210</v>
      </c>
      <c r="C40" s="35" t="s">
        <v>209</v>
      </c>
      <c r="D40" s="35">
        <v>2000002936</v>
      </c>
      <c r="E40" s="35">
        <v>446.5</v>
      </c>
      <c r="F40" s="34">
        <v>42835</v>
      </c>
    </row>
    <row r="41" spans="1:6" ht="15.75" x14ac:dyDescent="0.25">
      <c r="A41" s="35">
        <v>538110</v>
      </c>
      <c r="B41" s="35" t="s">
        <v>210</v>
      </c>
      <c r="C41" s="35" t="s">
        <v>209</v>
      </c>
      <c r="D41" s="35">
        <v>2000002936</v>
      </c>
      <c r="E41" s="35">
        <v>597.79999999999995</v>
      </c>
      <c r="F41" s="34">
        <v>42835</v>
      </c>
    </row>
    <row r="42" spans="1:6" ht="15.75" x14ac:dyDescent="0.25">
      <c r="A42" s="35">
        <v>587890</v>
      </c>
      <c r="B42" s="35" t="s">
        <v>32</v>
      </c>
      <c r="C42" s="35" t="s">
        <v>669</v>
      </c>
      <c r="D42" s="35" t="s">
        <v>670</v>
      </c>
      <c r="E42" s="35">
        <v>772</v>
      </c>
      <c r="F42" s="34">
        <v>42835</v>
      </c>
    </row>
    <row r="43" spans="1:6" ht="15.75" x14ac:dyDescent="0.25">
      <c r="A43" s="35">
        <v>522928</v>
      </c>
      <c r="B43" s="35" t="s">
        <v>211</v>
      </c>
      <c r="C43" s="35"/>
      <c r="D43" s="35">
        <v>1000003277</v>
      </c>
      <c r="E43" s="35">
        <v>0</v>
      </c>
      <c r="F43" s="34">
        <v>42836</v>
      </c>
    </row>
    <row r="44" spans="1:6" ht="15.75" x14ac:dyDescent="0.25">
      <c r="A44" s="35">
        <v>527510</v>
      </c>
      <c r="B44" s="35" t="s">
        <v>671</v>
      </c>
      <c r="C44" s="35"/>
      <c r="D44" s="35">
        <v>1000003277</v>
      </c>
      <c r="E44" s="35">
        <v>0</v>
      </c>
      <c r="F44" s="34">
        <v>42836</v>
      </c>
    </row>
    <row r="45" spans="1:6" ht="15.75" x14ac:dyDescent="0.25">
      <c r="A45" s="35">
        <v>527510</v>
      </c>
      <c r="B45" s="35" t="s">
        <v>671</v>
      </c>
      <c r="C45" s="35"/>
      <c r="D45" s="35">
        <v>1000003277</v>
      </c>
      <c r="E45" s="35">
        <v>0</v>
      </c>
      <c r="F45" s="34">
        <v>42836</v>
      </c>
    </row>
    <row r="46" spans="1:6" ht="15.75" x14ac:dyDescent="0.25">
      <c r="A46" s="35">
        <v>527510</v>
      </c>
      <c r="B46" s="35" t="s">
        <v>671</v>
      </c>
      <c r="C46" s="35"/>
      <c r="D46" s="35">
        <v>1000003277</v>
      </c>
      <c r="E46" s="35">
        <v>0</v>
      </c>
      <c r="F46" s="34">
        <v>42836</v>
      </c>
    </row>
    <row r="47" spans="1:6" ht="15.75" x14ac:dyDescent="0.25">
      <c r="A47" s="35">
        <v>558921</v>
      </c>
      <c r="B47" s="35" t="s">
        <v>262</v>
      </c>
      <c r="C47" s="35"/>
      <c r="D47" s="35">
        <v>1000003277</v>
      </c>
      <c r="E47" s="35">
        <v>0</v>
      </c>
      <c r="F47" s="34">
        <v>42836</v>
      </c>
    </row>
    <row r="48" spans="1:6" ht="15.75" x14ac:dyDescent="0.25">
      <c r="A48" s="35">
        <v>558921</v>
      </c>
      <c r="B48" s="35" t="s">
        <v>262</v>
      </c>
      <c r="C48" s="35"/>
      <c r="D48" s="35">
        <v>1000003277</v>
      </c>
      <c r="E48" s="35">
        <v>0</v>
      </c>
      <c r="F48" s="34">
        <v>42836</v>
      </c>
    </row>
    <row r="49" spans="1:6" ht="15.75" x14ac:dyDescent="0.25">
      <c r="A49" s="35">
        <v>558921</v>
      </c>
      <c r="B49" s="35" t="s">
        <v>262</v>
      </c>
      <c r="C49" s="35"/>
      <c r="D49" s="35">
        <v>1000003277</v>
      </c>
      <c r="E49" s="35">
        <v>0</v>
      </c>
      <c r="F49" s="34">
        <v>42836</v>
      </c>
    </row>
    <row r="50" spans="1:6" ht="15.75" x14ac:dyDescent="0.25">
      <c r="A50" s="35">
        <v>558921</v>
      </c>
      <c r="B50" s="35" t="s">
        <v>262</v>
      </c>
      <c r="C50" s="35"/>
      <c r="D50" s="35">
        <v>1000003277</v>
      </c>
      <c r="E50" s="35">
        <v>0</v>
      </c>
      <c r="F50" s="34">
        <v>42836</v>
      </c>
    </row>
    <row r="51" spans="1:6" ht="15.75" x14ac:dyDescent="0.25">
      <c r="A51" s="35">
        <v>558921</v>
      </c>
      <c r="B51" s="35" t="s">
        <v>262</v>
      </c>
      <c r="C51" s="35"/>
      <c r="D51" s="35">
        <v>1000003277</v>
      </c>
      <c r="E51" s="35">
        <v>0</v>
      </c>
      <c r="F51" s="34">
        <v>42836</v>
      </c>
    </row>
    <row r="52" spans="1:6" ht="15.75" x14ac:dyDescent="0.25">
      <c r="A52" s="35">
        <v>527510</v>
      </c>
      <c r="B52" s="35" t="s">
        <v>671</v>
      </c>
      <c r="C52" s="35"/>
      <c r="D52" s="35">
        <v>1000003277</v>
      </c>
      <c r="E52" s="35">
        <v>30</v>
      </c>
      <c r="F52" s="34">
        <v>42836</v>
      </c>
    </row>
    <row r="53" spans="1:6" ht="15.75" x14ac:dyDescent="0.25">
      <c r="A53" s="35">
        <v>527510</v>
      </c>
      <c r="B53" s="35" t="s">
        <v>671</v>
      </c>
      <c r="C53" s="35"/>
      <c r="D53" s="35">
        <v>1000003277</v>
      </c>
      <c r="E53" s="35">
        <v>40</v>
      </c>
      <c r="F53" s="34">
        <v>42836</v>
      </c>
    </row>
    <row r="54" spans="1:6" ht="15.75" x14ac:dyDescent="0.25">
      <c r="A54" s="35">
        <v>527510</v>
      </c>
      <c r="B54" s="35" t="s">
        <v>671</v>
      </c>
      <c r="C54" s="35"/>
      <c r="D54" s="35">
        <v>1000003277</v>
      </c>
      <c r="E54" s="35">
        <v>50</v>
      </c>
      <c r="F54" s="34">
        <v>42836</v>
      </c>
    </row>
    <row r="55" spans="1:6" ht="15.75" x14ac:dyDescent="0.25">
      <c r="A55" s="35">
        <v>558979</v>
      </c>
      <c r="B55" s="35" t="s">
        <v>150</v>
      </c>
      <c r="C55" s="35" t="s">
        <v>311</v>
      </c>
      <c r="D55" s="35" t="s">
        <v>672</v>
      </c>
      <c r="E55" s="35">
        <v>125</v>
      </c>
      <c r="F55" s="34">
        <v>42836</v>
      </c>
    </row>
    <row r="56" spans="1:6" ht="15.75" x14ac:dyDescent="0.25">
      <c r="A56" s="35">
        <v>558979</v>
      </c>
      <c r="B56" s="35" t="s">
        <v>150</v>
      </c>
      <c r="C56" s="35" t="s">
        <v>386</v>
      </c>
      <c r="D56" s="35" t="s">
        <v>673</v>
      </c>
      <c r="E56" s="35">
        <v>125</v>
      </c>
      <c r="F56" s="34">
        <v>42836</v>
      </c>
    </row>
    <row r="57" spans="1:6" ht="15.75" x14ac:dyDescent="0.25">
      <c r="A57" s="35">
        <v>558979</v>
      </c>
      <c r="B57" s="35" t="s">
        <v>150</v>
      </c>
      <c r="C57" s="35" t="s">
        <v>151</v>
      </c>
      <c r="D57" s="35" t="s">
        <v>674</v>
      </c>
      <c r="E57" s="35">
        <v>125</v>
      </c>
      <c r="F57" s="34">
        <v>42836</v>
      </c>
    </row>
    <row r="58" spans="1:6" ht="15.75" x14ac:dyDescent="0.25">
      <c r="A58" s="35">
        <v>558979</v>
      </c>
      <c r="B58" s="35" t="s">
        <v>150</v>
      </c>
      <c r="C58" s="35" t="s">
        <v>321</v>
      </c>
      <c r="D58" s="35" t="s">
        <v>675</v>
      </c>
      <c r="E58" s="35">
        <v>125</v>
      </c>
      <c r="F58" s="34">
        <v>42836</v>
      </c>
    </row>
    <row r="59" spans="1:6" ht="15.75" x14ac:dyDescent="0.25">
      <c r="A59" s="35">
        <v>558979</v>
      </c>
      <c r="B59" s="35" t="s">
        <v>150</v>
      </c>
      <c r="C59" s="35" t="s">
        <v>327</v>
      </c>
      <c r="D59" s="35" t="s">
        <v>676</v>
      </c>
      <c r="E59" s="35">
        <v>125</v>
      </c>
      <c r="F59" s="34">
        <v>42836</v>
      </c>
    </row>
    <row r="60" spans="1:6" ht="15.75" x14ac:dyDescent="0.25">
      <c r="A60" s="35">
        <v>558979</v>
      </c>
      <c r="B60" s="35" t="s">
        <v>150</v>
      </c>
      <c r="C60" s="35" t="s">
        <v>323</v>
      </c>
      <c r="D60" s="35" t="s">
        <v>677</v>
      </c>
      <c r="E60" s="35">
        <v>125</v>
      </c>
      <c r="F60" s="34">
        <v>42836</v>
      </c>
    </row>
    <row r="61" spans="1:6" ht="15.75" x14ac:dyDescent="0.25">
      <c r="A61" s="35">
        <v>558979</v>
      </c>
      <c r="B61" s="35" t="s">
        <v>150</v>
      </c>
      <c r="C61" s="35" t="s">
        <v>317</v>
      </c>
      <c r="D61" s="35" t="s">
        <v>678</v>
      </c>
      <c r="E61" s="35">
        <v>125</v>
      </c>
      <c r="F61" s="34">
        <v>42836</v>
      </c>
    </row>
    <row r="62" spans="1:6" ht="15.75" x14ac:dyDescent="0.25">
      <c r="A62" s="35">
        <v>558979</v>
      </c>
      <c r="B62" s="35" t="s">
        <v>150</v>
      </c>
      <c r="C62" s="35" t="s">
        <v>309</v>
      </c>
      <c r="D62" s="35" t="s">
        <v>679</v>
      </c>
      <c r="E62" s="35">
        <v>125</v>
      </c>
      <c r="F62" s="34">
        <v>42836</v>
      </c>
    </row>
    <row r="63" spans="1:6" ht="15.75" x14ac:dyDescent="0.25">
      <c r="A63" s="35">
        <v>558979</v>
      </c>
      <c r="B63" s="35" t="s">
        <v>150</v>
      </c>
      <c r="C63" s="35" t="s">
        <v>325</v>
      </c>
      <c r="D63" s="35" t="s">
        <v>680</v>
      </c>
      <c r="E63" s="35">
        <v>125</v>
      </c>
      <c r="F63" s="34">
        <v>42836</v>
      </c>
    </row>
    <row r="64" spans="1:6" ht="15.75" x14ac:dyDescent="0.25">
      <c r="A64" s="35">
        <v>558979</v>
      </c>
      <c r="B64" s="35" t="s">
        <v>150</v>
      </c>
      <c r="C64" s="35" t="s">
        <v>319</v>
      </c>
      <c r="D64" s="35" t="s">
        <v>681</v>
      </c>
      <c r="E64" s="35">
        <v>125</v>
      </c>
      <c r="F64" s="34">
        <v>42836</v>
      </c>
    </row>
    <row r="65" spans="1:6" ht="15.75" x14ac:dyDescent="0.25">
      <c r="A65" s="35">
        <v>558979</v>
      </c>
      <c r="B65" s="35" t="s">
        <v>150</v>
      </c>
      <c r="C65" s="35" t="s">
        <v>315</v>
      </c>
      <c r="D65" s="35" t="s">
        <v>682</v>
      </c>
      <c r="E65" s="35">
        <v>125</v>
      </c>
      <c r="F65" s="34">
        <v>42836</v>
      </c>
    </row>
    <row r="66" spans="1:6" ht="15.75" x14ac:dyDescent="0.25">
      <c r="A66" s="35">
        <v>522928</v>
      </c>
      <c r="B66" s="35" t="s">
        <v>211</v>
      </c>
      <c r="C66" s="35"/>
      <c r="D66" s="35">
        <v>1000003277</v>
      </c>
      <c r="E66" s="35">
        <v>149.86000000000001</v>
      </c>
      <c r="F66" s="34">
        <v>42836</v>
      </c>
    </row>
    <row r="67" spans="1:6" ht="15.75" x14ac:dyDescent="0.25">
      <c r="A67" s="35">
        <v>558979</v>
      </c>
      <c r="B67" s="35" t="s">
        <v>150</v>
      </c>
      <c r="C67" s="35" t="s">
        <v>186</v>
      </c>
      <c r="D67" s="35" t="s">
        <v>683</v>
      </c>
      <c r="E67" s="35">
        <v>200</v>
      </c>
      <c r="F67" s="34">
        <v>42836</v>
      </c>
    </row>
    <row r="68" spans="1:6" ht="15.75" x14ac:dyDescent="0.25">
      <c r="A68" s="35">
        <v>558979</v>
      </c>
      <c r="B68" s="35" t="s">
        <v>150</v>
      </c>
      <c r="C68" s="35" t="s">
        <v>184</v>
      </c>
      <c r="D68" s="35" t="s">
        <v>684</v>
      </c>
      <c r="E68" s="35">
        <v>200</v>
      </c>
      <c r="F68" s="34">
        <v>42836</v>
      </c>
    </row>
    <row r="69" spans="1:6" ht="15.75" x14ac:dyDescent="0.25">
      <c r="A69" s="35">
        <v>558979</v>
      </c>
      <c r="B69" s="35" t="s">
        <v>150</v>
      </c>
      <c r="C69" s="35" t="s">
        <v>232</v>
      </c>
      <c r="D69" s="35" t="s">
        <v>685</v>
      </c>
      <c r="E69" s="35">
        <v>200</v>
      </c>
      <c r="F69" s="34">
        <v>42836</v>
      </c>
    </row>
    <row r="70" spans="1:6" ht="15.75" x14ac:dyDescent="0.25">
      <c r="A70" s="35">
        <v>558979</v>
      </c>
      <c r="B70" s="35" t="s">
        <v>150</v>
      </c>
      <c r="C70" s="35" t="s">
        <v>182</v>
      </c>
      <c r="D70" s="35" t="s">
        <v>686</v>
      </c>
      <c r="E70" s="35">
        <v>200</v>
      </c>
      <c r="F70" s="34">
        <v>42836</v>
      </c>
    </row>
    <row r="71" spans="1:6" ht="15.75" x14ac:dyDescent="0.25">
      <c r="A71" s="35">
        <v>558979</v>
      </c>
      <c r="B71" s="35" t="s">
        <v>150</v>
      </c>
      <c r="C71" s="35" t="s">
        <v>188</v>
      </c>
      <c r="D71" s="35" t="s">
        <v>687</v>
      </c>
      <c r="E71" s="35">
        <v>225</v>
      </c>
      <c r="F71" s="34">
        <v>42836</v>
      </c>
    </row>
    <row r="72" spans="1:6" ht="15.75" x14ac:dyDescent="0.25">
      <c r="A72" s="35">
        <v>558921</v>
      </c>
      <c r="B72" s="35" t="s">
        <v>262</v>
      </c>
      <c r="C72" s="35"/>
      <c r="D72" s="35">
        <v>1000003277</v>
      </c>
      <c r="E72" s="35">
        <v>252</v>
      </c>
      <c r="F72" s="34">
        <v>42836</v>
      </c>
    </row>
    <row r="73" spans="1:6" ht="15.75" x14ac:dyDescent="0.25">
      <c r="A73" s="35">
        <v>558921</v>
      </c>
      <c r="B73" s="35" t="s">
        <v>262</v>
      </c>
      <c r="C73" s="35"/>
      <c r="D73" s="35">
        <v>1000003277</v>
      </c>
      <c r="E73" s="35">
        <v>322.5</v>
      </c>
      <c r="F73" s="34">
        <v>42836</v>
      </c>
    </row>
    <row r="74" spans="1:6" ht="15.75" x14ac:dyDescent="0.25">
      <c r="A74" s="35">
        <v>558921</v>
      </c>
      <c r="B74" s="35" t="s">
        <v>262</v>
      </c>
      <c r="C74" s="35"/>
      <c r="D74" s="35">
        <v>1000003277</v>
      </c>
      <c r="E74" s="35">
        <v>368</v>
      </c>
      <c r="F74" s="34">
        <v>42836</v>
      </c>
    </row>
    <row r="75" spans="1:6" ht="15.75" x14ac:dyDescent="0.25">
      <c r="A75" s="35">
        <v>558979</v>
      </c>
      <c r="B75" s="35" t="s">
        <v>150</v>
      </c>
      <c r="C75" s="35" t="s">
        <v>190</v>
      </c>
      <c r="D75" s="35" t="s">
        <v>688</v>
      </c>
      <c r="E75" s="35">
        <v>400</v>
      </c>
      <c r="F75" s="34">
        <v>42836</v>
      </c>
    </row>
    <row r="76" spans="1:6" ht="15.75" x14ac:dyDescent="0.25">
      <c r="A76" s="35">
        <v>558921</v>
      </c>
      <c r="B76" s="35" t="s">
        <v>262</v>
      </c>
      <c r="C76" s="35"/>
      <c r="D76" s="35">
        <v>1000003277</v>
      </c>
      <c r="E76" s="35">
        <v>446.5</v>
      </c>
      <c r="F76" s="34">
        <v>42836</v>
      </c>
    </row>
    <row r="77" spans="1:6" ht="15.75" x14ac:dyDescent="0.25">
      <c r="A77" s="35">
        <v>558921</v>
      </c>
      <c r="B77" s="35" t="s">
        <v>262</v>
      </c>
      <c r="C77" s="35"/>
      <c r="D77" s="35">
        <v>1000003277</v>
      </c>
      <c r="E77" s="35">
        <v>597.79999999999995</v>
      </c>
      <c r="F77" s="34">
        <v>42836</v>
      </c>
    </row>
    <row r="78" spans="1:6" ht="15.75" x14ac:dyDescent="0.25">
      <c r="A78" s="35">
        <v>558979</v>
      </c>
      <c r="B78" s="35" t="s">
        <v>150</v>
      </c>
      <c r="C78" s="35" t="s">
        <v>163</v>
      </c>
      <c r="D78" s="35" t="s">
        <v>689</v>
      </c>
      <c r="E78" s="35">
        <v>650</v>
      </c>
      <c r="F78" s="34">
        <v>42836</v>
      </c>
    </row>
    <row r="79" spans="1:6" ht="15.75" x14ac:dyDescent="0.25">
      <c r="A79" s="35">
        <v>527120</v>
      </c>
      <c r="B79" s="35" t="s">
        <v>143</v>
      </c>
      <c r="C79" s="35" t="s">
        <v>144</v>
      </c>
      <c r="D79" s="35" t="s">
        <v>690</v>
      </c>
      <c r="E79" s="35">
        <v>14.5</v>
      </c>
      <c r="F79" s="34">
        <v>42837</v>
      </c>
    </row>
    <row r="80" spans="1:6" ht="15.75" x14ac:dyDescent="0.25">
      <c r="A80" s="35">
        <v>526712</v>
      </c>
      <c r="B80" s="35" t="s">
        <v>14</v>
      </c>
      <c r="C80" s="35" t="s">
        <v>184</v>
      </c>
      <c r="D80" s="35" t="s">
        <v>691</v>
      </c>
      <c r="E80" s="35">
        <v>19.260000000000002</v>
      </c>
      <c r="F80" s="34">
        <v>42838</v>
      </c>
    </row>
    <row r="81" spans="1:6" ht="15.75" x14ac:dyDescent="0.25">
      <c r="A81" s="35">
        <v>526742</v>
      </c>
      <c r="B81" s="35" t="s">
        <v>26</v>
      </c>
      <c r="C81" s="35" t="s">
        <v>692</v>
      </c>
      <c r="D81" s="35" t="s">
        <v>693</v>
      </c>
      <c r="E81" s="35">
        <v>64.400000000000006</v>
      </c>
      <c r="F81" s="34">
        <v>42838</v>
      </c>
    </row>
    <row r="82" spans="1:6" ht="15.75" x14ac:dyDescent="0.25">
      <c r="A82" s="35">
        <v>526742</v>
      </c>
      <c r="B82" s="35" t="s">
        <v>26</v>
      </c>
      <c r="C82" s="35" t="s">
        <v>184</v>
      </c>
      <c r="D82" s="35" t="s">
        <v>691</v>
      </c>
      <c r="E82" s="35">
        <v>64.400000000000006</v>
      </c>
      <c r="F82" s="34">
        <v>42838</v>
      </c>
    </row>
    <row r="83" spans="1:6" ht="15.75" x14ac:dyDescent="0.25">
      <c r="A83" s="35">
        <v>526742</v>
      </c>
      <c r="B83" s="35" t="s">
        <v>26</v>
      </c>
      <c r="C83" s="35" t="s">
        <v>232</v>
      </c>
      <c r="D83" s="35" t="s">
        <v>694</v>
      </c>
      <c r="E83" s="35">
        <v>64.400000000000006</v>
      </c>
      <c r="F83" s="34">
        <v>42838</v>
      </c>
    </row>
    <row r="84" spans="1:6" ht="15.75" x14ac:dyDescent="0.25">
      <c r="A84" s="35">
        <v>526712</v>
      </c>
      <c r="B84" s="35" t="s">
        <v>14</v>
      </c>
      <c r="C84" s="35" t="s">
        <v>695</v>
      </c>
      <c r="D84" s="35" t="s">
        <v>696</v>
      </c>
      <c r="E84" s="35">
        <v>88.82</v>
      </c>
      <c r="F84" s="34">
        <v>42838</v>
      </c>
    </row>
    <row r="85" spans="1:6" ht="15.75" x14ac:dyDescent="0.25">
      <c r="A85" s="35">
        <v>526712</v>
      </c>
      <c r="B85" s="35" t="s">
        <v>14</v>
      </c>
      <c r="C85" s="35" t="s">
        <v>232</v>
      </c>
      <c r="D85" s="35" t="s">
        <v>694</v>
      </c>
      <c r="E85" s="35">
        <v>110.06</v>
      </c>
      <c r="F85" s="34">
        <v>42838</v>
      </c>
    </row>
    <row r="86" spans="1:6" ht="15.75" x14ac:dyDescent="0.25">
      <c r="A86" s="35">
        <v>526712</v>
      </c>
      <c r="B86" s="35" t="s">
        <v>14</v>
      </c>
      <c r="C86" s="35" t="s">
        <v>692</v>
      </c>
      <c r="D86" s="35" t="s">
        <v>693</v>
      </c>
      <c r="E86" s="35">
        <v>121.28</v>
      </c>
      <c r="F86" s="34">
        <v>42838</v>
      </c>
    </row>
    <row r="87" spans="1:6" ht="15.75" x14ac:dyDescent="0.25">
      <c r="A87" s="35">
        <v>526712</v>
      </c>
      <c r="B87" s="35" t="s">
        <v>14</v>
      </c>
      <c r="C87" s="35" t="s">
        <v>697</v>
      </c>
      <c r="D87" s="35" t="s">
        <v>698</v>
      </c>
      <c r="E87" s="35">
        <v>126.38</v>
      </c>
      <c r="F87" s="34">
        <v>42838</v>
      </c>
    </row>
    <row r="88" spans="1:6" ht="15.75" x14ac:dyDescent="0.25">
      <c r="A88" s="35">
        <v>526712</v>
      </c>
      <c r="B88" s="35" t="s">
        <v>14</v>
      </c>
      <c r="C88" s="35" t="s">
        <v>697</v>
      </c>
      <c r="D88" s="35" t="s">
        <v>699</v>
      </c>
      <c r="E88" s="35">
        <v>136.24</v>
      </c>
      <c r="F88" s="34">
        <v>42838</v>
      </c>
    </row>
    <row r="89" spans="1:6" ht="15.75" x14ac:dyDescent="0.25">
      <c r="A89" s="35">
        <v>558921</v>
      </c>
      <c r="B89" s="35" t="s">
        <v>262</v>
      </c>
      <c r="C89" s="35" t="s">
        <v>178</v>
      </c>
      <c r="D89" s="35" t="s">
        <v>700</v>
      </c>
      <c r="E89" s="35">
        <v>526.5</v>
      </c>
      <c r="F89" s="34">
        <v>42838</v>
      </c>
    </row>
    <row r="90" spans="1:6" ht="15.75" x14ac:dyDescent="0.25">
      <c r="A90" s="35">
        <v>526742</v>
      </c>
      <c r="B90" s="35" t="s">
        <v>26</v>
      </c>
      <c r="C90" s="35" t="s">
        <v>271</v>
      </c>
      <c r="D90" s="35" t="s">
        <v>701</v>
      </c>
      <c r="E90" s="35">
        <v>64.400000000000006</v>
      </c>
      <c r="F90" s="34">
        <v>42849</v>
      </c>
    </row>
    <row r="91" spans="1:6" ht="15.75" x14ac:dyDescent="0.25">
      <c r="A91" s="35">
        <v>526742</v>
      </c>
      <c r="B91" s="35" t="s">
        <v>26</v>
      </c>
      <c r="C91" s="35" t="s">
        <v>652</v>
      </c>
      <c r="D91" s="35" t="s">
        <v>702</v>
      </c>
      <c r="E91" s="35">
        <v>64.400000000000006</v>
      </c>
      <c r="F91" s="34">
        <v>42849</v>
      </c>
    </row>
    <row r="92" spans="1:6" ht="15.75" x14ac:dyDescent="0.25">
      <c r="A92" s="35">
        <v>526712</v>
      </c>
      <c r="B92" s="35" t="s">
        <v>14</v>
      </c>
      <c r="C92" s="35" t="s">
        <v>271</v>
      </c>
      <c r="D92" s="35" t="s">
        <v>701</v>
      </c>
      <c r="E92" s="35">
        <v>84.54</v>
      </c>
      <c r="F92" s="34">
        <v>42849</v>
      </c>
    </row>
    <row r="93" spans="1:6" ht="15.75" x14ac:dyDescent="0.25">
      <c r="A93" s="35">
        <v>526712</v>
      </c>
      <c r="B93" s="35" t="s">
        <v>14</v>
      </c>
      <c r="C93" s="35" t="s">
        <v>652</v>
      </c>
      <c r="D93" s="35" t="s">
        <v>702</v>
      </c>
      <c r="E93" s="35">
        <v>110.06</v>
      </c>
      <c r="F93" s="34">
        <v>42849</v>
      </c>
    </row>
    <row r="94" spans="1:6" ht="15.75" x14ac:dyDescent="0.25">
      <c r="A94" s="35">
        <v>587890</v>
      </c>
      <c r="B94" s="35" t="s">
        <v>32</v>
      </c>
      <c r="C94" s="35" t="s">
        <v>441</v>
      </c>
      <c r="D94" s="35" t="s">
        <v>703</v>
      </c>
      <c r="E94" s="35">
        <v>800</v>
      </c>
      <c r="F94" s="34">
        <v>42849</v>
      </c>
    </row>
    <row r="95" spans="1:6" ht="15.75" x14ac:dyDescent="0.25">
      <c r="A95" s="35">
        <v>587890</v>
      </c>
      <c r="B95" s="35" t="s">
        <v>32</v>
      </c>
      <c r="C95" s="35" t="s">
        <v>404</v>
      </c>
      <c r="D95" s="35" t="s">
        <v>704</v>
      </c>
      <c r="E95" s="35">
        <v>2500</v>
      </c>
      <c r="F95" s="34">
        <v>42849</v>
      </c>
    </row>
    <row r="96" spans="1:6" ht="15.75" x14ac:dyDescent="0.25">
      <c r="A96" s="35">
        <v>527120</v>
      </c>
      <c r="B96" s="35" t="s">
        <v>143</v>
      </c>
      <c r="C96" s="35" t="s">
        <v>144</v>
      </c>
      <c r="D96" s="35" t="s">
        <v>705</v>
      </c>
      <c r="E96" s="35">
        <v>14.5</v>
      </c>
      <c r="F96" s="34">
        <v>42850</v>
      </c>
    </row>
    <row r="97" spans="1:6" ht="15.75" x14ac:dyDescent="0.25">
      <c r="A97" s="35">
        <v>558921</v>
      </c>
      <c r="B97" s="35" t="s">
        <v>262</v>
      </c>
      <c r="C97" s="35" t="s">
        <v>706</v>
      </c>
      <c r="D97" s="35" t="s">
        <v>707</v>
      </c>
      <c r="E97" s="35">
        <v>639</v>
      </c>
      <c r="F97" s="34">
        <v>42851</v>
      </c>
    </row>
    <row r="98" spans="1:6" ht="15.75" x14ac:dyDescent="0.25">
      <c r="A98" s="35">
        <v>558921</v>
      </c>
      <c r="B98" s="35" t="s">
        <v>262</v>
      </c>
      <c r="C98" s="35" t="s">
        <v>706</v>
      </c>
      <c r="D98" s="35" t="s">
        <v>708</v>
      </c>
      <c r="E98" s="35">
        <v>1747.2</v>
      </c>
      <c r="F98" s="34">
        <v>42851</v>
      </c>
    </row>
    <row r="99" spans="1:6" ht="15.75" x14ac:dyDescent="0.25">
      <c r="A99" s="35">
        <v>587890</v>
      </c>
      <c r="B99" s="35" t="s">
        <v>32</v>
      </c>
      <c r="C99" s="35" t="s">
        <v>404</v>
      </c>
      <c r="D99" s="35" t="s">
        <v>709</v>
      </c>
      <c r="E99" s="35">
        <v>2880</v>
      </c>
      <c r="F99" s="34">
        <v>42851</v>
      </c>
    </row>
    <row r="100" spans="1:6" ht="15.75" x14ac:dyDescent="0.25">
      <c r="A100" s="35">
        <v>587890</v>
      </c>
      <c r="B100" s="35" t="s">
        <v>32</v>
      </c>
      <c r="C100" s="35" t="s">
        <v>445</v>
      </c>
      <c r="D100" s="35" t="s">
        <v>710</v>
      </c>
      <c r="E100" s="35">
        <v>58.27</v>
      </c>
      <c r="F100" s="34">
        <v>42852</v>
      </c>
    </row>
    <row r="101" spans="1:6" ht="15.75" x14ac:dyDescent="0.25">
      <c r="A101" s="35">
        <v>527510</v>
      </c>
      <c r="B101" s="35" t="s">
        <v>671</v>
      </c>
      <c r="C101" s="35" t="s">
        <v>711</v>
      </c>
      <c r="D101" s="35" t="s">
        <v>712</v>
      </c>
      <c r="E101" s="35">
        <v>277.5</v>
      </c>
      <c r="F101" s="34">
        <v>42852</v>
      </c>
    </row>
    <row r="102" spans="1:6" ht="15.75" x14ac:dyDescent="0.25">
      <c r="A102" s="35">
        <v>558921</v>
      </c>
      <c r="B102" s="35" t="s">
        <v>262</v>
      </c>
      <c r="C102" s="35" t="s">
        <v>713</v>
      </c>
      <c r="D102" s="35" t="s">
        <v>714</v>
      </c>
      <c r="E102" s="35">
        <v>880</v>
      </c>
      <c r="F102" s="34">
        <v>42852</v>
      </c>
    </row>
    <row r="103" spans="1:6" ht="15.75" x14ac:dyDescent="0.25">
      <c r="A103" s="35">
        <v>587890</v>
      </c>
      <c r="B103" s="35" t="s">
        <v>32</v>
      </c>
      <c r="C103" s="35" t="s">
        <v>350</v>
      </c>
      <c r="D103" s="35" t="s">
        <v>715</v>
      </c>
      <c r="E103" s="35">
        <v>1156.4000000000001</v>
      </c>
      <c r="F103" s="34">
        <v>42852</v>
      </c>
    </row>
    <row r="104" spans="1:6" ht="15.75" x14ac:dyDescent="0.25">
      <c r="A104" s="35">
        <v>515130</v>
      </c>
      <c r="B104" s="35" t="s">
        <v>10</v>
      </c>
      <c r="C104" s="35" t="s">
        <v>165</v>
      </c>
      <c r="D104" s="35" t="s">
        <v>716</v>
      </c>
      <c r="E104" s="35">
        <v>97.03</v>
      </c>
      <c r="F104" s="34">
        <v>42853</v>
      </c>
    </row>
    <row r="105" spans="1:6" ht="15.75" x14ac:dyDescent="0.25">
      <c r="A105" s="35">
        <v>515120</v>
      </c>
      <c r="B105" s="35" t="s">
        <v>9</v>
      </c>
      <c r="C105" s="35" t="s">
        <v>165</v>
      </c>
      <c r="D105" s="35" t="s">
        <v>716</v>
      </c>
      <c r="E105" s="35">
        <v>414.91</v>
      </c>
      <c r="F105" s="34">
        <v>42853</v>
      </c>
    </row>
    <row r="106" spans="1:6" ht="15.75" x14ac:dyDescent="0.25">
      <c r="A106" s="35">
        <v>515530</v>
      </c>
      <c r="B106" s="35" t="s">
        <v>13</v>
      </c>
      <c r="C106" s="35" t="s">
        <v>165</v>
      </c>
      <c r="D106" s="35" t="s">
        <v>716</v>
      </c>
      <c r="E106" s="35">
        <v>427.92</v>
      </c>
      <c r="F106" s="34">
        <v>42853</v>
      </c>
    </row>
    <row r="107" spans="1:6" ht="15.75" x14ac:dyDescent="0.25">
      <c r="A107" s="35">
        <v>515420</v>
      </c>
      <c r="B107" s="35" t="s">
        <v>12</v>
      </c>
      <c r="C107" s="35" t="s">
        <v>165</v>
      </c>
      <c r="D107" s="35" t="s">
        <v>716</v>
      </c>
      <c r="E107" s="35">
        <v>442.66</v>
      </c>
      <c r="F107" s="34">
        <v>42853</v>
      </c>
    </row>
    <row r="108" spans="1:6" ht="15.75" x14ac:dyDescent="0.25">
      <c r="A108" s="35">
        <v>515410</v>
      </c>
      <c r="B108" s="35" t="s">
        <v>11</v>
      </c>
      <c r="C108" s="35" t="s">
        <v>165</v>
      </c>
      <c r="D108" s="35" t="s">
        <v>716</v>
      </c>
      <c r="E108" s="35">
        <v>473.1</v>
      </c>
      <c r="F108" s="34">
        <v>42853</v>
      </c>
    </row>
    <row r="109" spans="1:6" ht="15.75" x14ac:dyDescent="0.25">
      <c r="A109" s="35">
        <v>511120</v>
      </c>
      <c r="B109" s="35" t="s">
        <v>6</v>
      </c>
      <c r="C109" s="35" t="s">
        <v>165</v>
      </c>
      <c r="D109" s="35" t="s">
        <v>716</v>
      </c>
      <c r="E109" s="35">
        <v>6916.64</v>
      </c>
      <c r="F109" s="34">
        <v>42853</v>
      </c>
    </row>
  </sheetData>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2A7AF-EA97-44D7-ADE2-EAF61A252296}">
  <dimension ref="A1:F82"/>
  <sheetViews>
    <sheetView workbookViewId="0">
      <selection sqref="A1:F82"/>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587890</v>
      </c>
      <c r="B2" s="35" t="s">
        <v>32</v>
      </c>
      <c r="C2" s="35" t="s">
        <v>462</v>
      </c>
      <c r="D2" s="35" t="s">
        <v>576</v>
      </c>
      <c r="E2" s="35">
        <v>499.83</v>
      </c>
      <c r="F2" s="34">
        <v>42795</v>
      </c>
    </row>
    <row r="3" spans="1:6" ht="15.75" x14ac:dyDescent="0.25">
      <c r="A3" s="35">
        <v>587890</v>
      </c>
      <c r="B3" s="35" t="s">
        <v>32</v>
      </c>
      <c r="C3" s="35" t="s">
        <v>404</v>
      </c>
      <c r="D3" s="35" t="s">
        <v>577</v>
      </c>
      <c r="E3" s="35">
        <v>628.25</v>
      </c>
      <c r="F3" s="34">
        <v>42795</v>
      </c>
    </row>
    <row r="4" spans="1:6" ht="15.75" x14ac:dyDescent="0.25">
      <c r="A4" s="35">
        <v>587890</v>
      </c>
      <c r="B4" s="35" t="s">
        <v>32</v>
      </c>
      <c r="C4" s="35" t="s">
        <v>404</v>
      </c>
      <c r="D4" s="35" t="s">
        <v>578</v>
      </c>
      <c r="E4" s="35">
        <v>676.63</v>
      </c>
      <c r="F4" s="34">
        <v>42795</v>
      </c>
    </row>
    <row r="5" spans="1:6" ht="15.75" x14ac:dyDescent="0.25">
      <c r="A5" s="35">
        <v>587890</v>
      </c>
      <c r="B5" s="35" t="s">
        <v>32</v>
      </c>
      <c r="C5" s="35" t="s">
        <v>443</v>
      </c>
      <c r="D5" s="35" t="s">
        <v>579</v>
      </c>
      <c r="E5" s="35">
        <v>697.37</v>
      </c>
      <c r="F5" s="34">
        <v>42795</v>
      </c>
    </row>
    <row r="6" spans="1:6" ht="15.75" x14ac:dyDescent="0.25">
      <c r="A6" s="35">
        <v>587890</v>
      </c>
      <c r="B6" s="35" t="s">
        <v>32</v>
      </c>
      <c r="C6" s="35" t="s">
        <v>580</v>
      </c>
      <c r="D6" s="35" t="s">
        <v>581</v>
      </c>
      <c r="E6" s="35">
        <v>1400</v>
      </c>
      <c r="F6" s="34">
        <v>42795</v>
      </c>
    </row>
    <row r="7" spans="1:6" ht="15.75" x14ac:dyDescent="0.25">
      <c r="A7" s="35">
        <v>587890</v>
      </c>
      <c r="B7" s="35" t="s">
        <v>32</v>
      </c>
      <c r="C7" s="35" t="s">
        <v>517</v>
      </c>
      <c r="D7" s="35" t="s">
        <v>582</v>
      </c>
      <c r="E7" s="35">
        <v>1875</v>
      </c>
      <c r="F7" s="34">
        <v>42795</v>
      </c>
    </row>
    <row r="8" spans="1:6" ht="15.75" x14ac:dyDescent="0.25">
      <c r="A8" s="35">
        <v>526150</v>
      </c>
      <c r="B8" s="35" t="s">
        <v>258</v>
      </c>
      <c r="C8" s="35" t="s">
        <v>178</v>
      </c>
      <c r="D8" s="35" t="s">
        <v>583</v>
      </c>
      <c r="E8" s="35">
        <v>18.7</v>
      </c>
      <c r="F8" s="34">
        <v>42802</v>
      </c>
    </row>
    <row r="9" spans="1:6" ht="15.75" x14ac:dyDescent="0.25">
      <c r="A9" s="35">
        <v>526712</v>
      </c>
      <c r="B9" s="35" t="s">
        <v>14</v>
      </c>
      <c r="C9" s="35" t="s">
        <v>151</v>
      </c>
      <c r="D9" s="35" t="s">
        <v>584</v>
      </c>
      <c r="E9" s="35">
        <v>73.84</v>
      </c>
      <c r="F9" s="34">
        <v>42802</v>
      </c>
    </row>
    <row r="10" spans="1:6" ht="15.75" x14ac:dyDescent="0.25">
      <c r="A10" s="35">
        <v>526712</v>
      </c>
      <c r="B10" s="35" t="s">
        <v>14</v>
      </c>
      <c r="C10" s="35" t="s">
        <v>585</v>
      </c>
      <c r="D10" s="35" t="s">
        <v>586</v>
      </c>
      <c r="E10" s="35">
        <v>83.46</v>
      </c>
      <c r="F10" s="34">
        <v>42802</v>
      </c>
    </row>
    <row r="11" spans="1:6" ht="15.75" x14ac:dyDescent="0.25">
      <c r="A11" s="35">
        <v>526712</v>
      </c>
      <c r="B11" s="35" t="s">
        <v>14</v>
      </c>
      <c r="C11" s="35" t="s">
        <v>190</v>
      </c>
      <c r="D11" s="35" t="s">
        <v>587</v>
      </c>
      <c r="E11" s="35">
        <v>88.82</v>
      </c>
      <c r="F11" s="34">
        <v>42802</v>
      </c>
    </row>
    <row r="12" spans="1:6" ht="15.75" x14ac:dyDescent="0.25">
      <c r="A12" s="35">
        <v>526120</v>
      </c>
      <c r="B12" s="35" t="s">
        <v>217</v>
      </c>
      <c r="C12" s="35" t="s">
        <v>178</v>
      </c>
      <c r="D12" s="35" t="s">
        <v>583</v>
      </c>
      <c r="E12" s="35">
        <v>89.88</v>
      </c>
      <c r="F12" s="34">
        <v>42802</v>
      </c>
    </row>
    <row r="13" spans="1:6" ht="15.75" x14ac:dyDescent="0.25">
      <c r="A13" s="35">
        <v>526712</v>
      </c>
      <c r="B13" s="35" t="s">
        <v>14</v>
      </c>
      <c r="C13" s="35" t="s">
        <v>232</v>
      </c>
      <c r="D13" s="35" t="s">
        <v>588</v>
      </c>
      <c r="E13" s="35">
        <v>93.1</v>
      </c>
      <c r="F13" s="34">
        <v>42802</v>
      </c>
    </row>
    <row r="14" spans="1:6" ht="15.75" x14ac:dyDescent="0.25">
      <c r="A14" s="35">
        <v>526712</v>
      </c>
      <c r="B14" s="35" t="s">
        <v>14</v>
      </c>
      <c r="C14" s="35" t="s">
        <v>188</v>
      </c>
      <c r="D14" s="35" t="s">
        <v>589</v>
      </c>
      <c r="E14" s="35">
        <v>93.1</v>
      </c>
      <c r="F14" s="34">
        <v>42802</v>
      </c>
    </row>
    <row r="15" spans="1:6" ht="15.75" x14ac:dyDescent="0.25">
      <c r="A15" s="35">
        <v>526712</v>
      </c>
      <c r="B15" s="35" t="s">
        <v>14</v>
      </c>
      <c r="C15" s="35" t="s">
        <v>500</v>
      </c>
      <c r="D15" s="35" t="s">
        <v>590</v>
      </c>
      <c r="E15" s="35">
        <v>107.68</v>
      </c>
      <c r="F15" s="34">
        <v>42802</v>
      </c>
    </row>
    <row r="16" spans="1:6" ht="15.75" x14ac:dyDescent="0.25">
      <c r="A16" s="35">
        <v>526712</v>
      </c>
      <c r="B16" s="35" t="s">
        <v>14</v>
      </c>
      <c r="C16" s="35" t="s">
        <v>163</v>
      </c>
      <c r="D16" s="35" t="s">
        <v>591</v>
      </c>
      <c r="E16" s="35">
        <v>107.68</v>
      </c>
      <c r="F16" s="34">
        <v>42802</v>
      </c>
    </row>
    <row r="17" spans="1:6" ht="15.75" x14ac:dyDescent="0.25">
      <c r="A17" s="35">
        <v>526712</v>
      </c>
      <c r="B17" s="35" t="s">
        <v>14</v>
      </c>
      <c r="C17" s="35" t="s">
        <v>281</v>
      </c>
      <c r="D17" s="35" t="s">
        <v>592</v>
      </c>
      <c r="E17" s="35">
        <v>107.68</v>
      </c>
      <c r="F17" s="34">
        <v>42802</v>
      </c>
    </row>
    <row r="18" spans="1:6" ht="15.75" x14ac:dyDescent="0.25">
      <c r="A18" s="35">
        <v>526712</v>
      </c>
      <c r="B18" s="35" t="s">
        <v>14</v>
      </c>
      <c r="C18" s="35" t="s">
        <v>327</v>
      </c>
      <c r="D18" s="35" t="s">
        <v>593</v>
      </c>
      <c r="E18" s="35">
        <v>112.78</v>
      </c>
      <c r="F18" s="34">
        <v>42802</v>
      </c>
    </row>
    <row r="19" spans="1:6" ht="15.75" x14ac:dyDescent="0.25">
      <c r="A19" s="35">
        <v>558979</v>
      </c>
      <c r="B19" s="35" t="s">
        <v>150</v>
      </c>
      <c r="C19" s="35" t="s">
        <v>386</v>
      </c>
      <c r="D19" s="35" t="s">
        <v>594</v>
      </c>
      <c r="E19" s="35">
        <v>125</v>
      </c>
      <c r="F19" s="34">
        <v>42802</v>
      </c>
    </row>
    <row r="20" spans="1:6" ht="15.75" x14ac:dyDescent="0.25">
      <c r="A20" s="35">
        <v>558979</v>
      </c>
      <c r="B20" s="35" t="s">
        <v>150</v>
      </c>
      <c r="C20" s="35" t="s">
        <v>151</v>
      </c>
      <c r="D20" s="35" t="s">
        <v>595</v>
      </c>
      <c r="E20" s="35">
        <v>125</v>
      </c>
      <c r="F20" s="34">
        <v>42802</v>
      </c>
    </row>
    <row r="21" spans="1:6" ht="15.75" x14ac:dyDescent="0.25">
      <c r="A21" s="35">
        <v>558979</v>
      </c>
      <c r="B21" s="35" t="s">
        <v>150</v>
      </c>
      <c r="C21" s="35" t="s">
        <v>319</v>
      </c>
      <c r="D21" s="35" t="s">
        <v>596</v>
      </c>
      <c r="E21" s="35">
        <v>125</v>
      </c>
      <c r="F21" s="34">
        <v>42802</v>
      </c>
    </row>
    <row r="22" spans="1:6" ht="15.75" x14ac:dyDescent="0.25">
      <c r="A22" s="35">
        <v>558979</v>
      </c>
      <c r="B22" s="35" t="s">
        <v>150</v>
      </c>
      <c r="C22" s="35" t="s">
        <v>311</v>
      </c>
      <c r="D22" s="35" t="s">
        <v>597</v>
      </c>
      <c r="E22" s="35">
        <v>125</v>
      </c>
      <c r="F22" s="34">
        <v>42802</v>
      </c>
    </row>
    <row r="23" spans="1:6" ht="15.75" x14ac:dyDescent="0.25">
      <c r="A23" s="35">
        <v>558979</v>
      </c>
      <c r="B23" s="35" t="s">
        <v>150</v>
      </c>
      <c r="C23" s="35" t="s">
        <v>323</v>
      </c>
      <c r="D23" s="35" t="s">
        <v>598</v>
      </c>
      <c r="E23" s="35">
        <v>125</v>
      </c>
      <c r="F23" s="34">
        <v>42802</v>
      </c>
    </row>
    <row r="24" spans="1:6" ht="15.75" x14ac:dyDescent="0.25">
      <c r="A24" s="35">
        <v>558979</v>
      </c>
      <c r="B24" s="35" t="s">
        <v>150</v>
      </c>
      <c r="C24" s="35" t="s">
        <v>315</v>
      </c>
      <c r="D24" s="35" t="s">
        <v>599</v>
      </c>
      <c r="E24" s="35">
        <v>125</v>
      </c>
      <c r="F24" s="34">
        <v>42802</v>
      </c>
    </row>
    <row r="25" spans="1:6" ht="15.75" x14ac:dyDescent="0.25">
      <c r="A25" s="35">
        <v>558979</v>
      </c>
      <c r="B25" s="35" t="s">
        <v>150</v>
      </c>
      <c r="C25" s="35" t="s">
        <v>327</v>
      </c>
      <c r="D25" s="35" t="s">
        <v>600</v>
      </c>
      <c r="E25" s="35">
        <v>125</v>
      </c>
      <c r="F25" s="34">
        <v>42802</v>
      </c>
    </row>
    <row r="26" spans="1:6" ht="15.75" x14ac:dyDescent="0.25">
      <c r="A26" s="35">
        <v>558979</v>
      </c>
      <c r="B26" s="35" t="s">
        <v>150</v>
      </c>
      <c r="C26" s="35" t="s">
        <v>321</v>
      </c>
      <c r="D26" s="35" t="s">
        <v>601</v>
      </c>
      <c r="E26" s="35">
        <v>125</v>
      </c>
      <c r="F26" s="34">
        <v>42802</v>
      </c>
    </row>
    <row r="27" spans="1:6" ht="15.75" x14ac:dyDescent="0.25">
      <c r="A27" s="35">
        <v>558979</v>
      </c>
      <c r="B27" s="35" t="s">
        <v>150</v>
      </c>
      <c r="C27" s="35" t="s">
        <v>309</v>
      </c>
      <c r="D27" s="35" t="s">
        <v>602</v>
      </c>
      <c r="E27" s="35">
        <v>125</v>
      </c>
      <c r="F27" s="34">
        <v>42802</v>
      </c>
    </row>
    <row r="28" spans="1:6" ht="15.75" x14ac:dyDescent="0.25">
      <c r="A28" s="35">
        <v>558979</v>
      </c>
      <c r="B28" s="35" t="s">
        <v>150</v>
      </c>
      <c r="C28" s="35" t="s">
        <v>325</v>
      </c>
      <c r="D28" s="35" t="s">
        <v>603</v>
      </c>
      <c r="E28" s="35">
        <v>125</v>
      </c>
      <c r="F28" s="34">
        <v>42802</v>
      </c>
    </row>
    <row r="29" spans="1:6" ht="15.75" x14ac:dyDescent="0.25">
      <c r="A29" s="35">
        <v>558979</v>
      </c>
      <c r="B29" s="35" t="s">
        <v>150</v>
      </c>
      <c r="C29" s="35" t="s">
        <v>317</v>
      </c>
      <c r="D29" s="35" t="s">
        <v>604</v>
      </c>
      <c r="E29" s="35">
        <v>125</v>
      </c>
      <c r="F29" s="34">
        <v>42802</v>
      </c>
    </row>
    <row r="30" spans="1:6" ht="15.75" x14ac:dyDescent="0.25">
      <c r="A30" s="35">
        <v>526712</v>
      </c>
      <c r="B30" s="35" t="s">
        <v>14</v>
      </c>
      <c r="C30" s="35" t="s">
        <v>321</v>
      </c>
      <c r="D30" s="35" t="s">
        <v>605</v>
      </c>
      <c r="E30" s="35">
        <v>151.88</v>
      </c>
      <c r="F30" s="34">
        <v>42802</v>
      </c>
    </row>
    <row r="31" spans="1:6" ht="15.75" x14ac:dyDescent="0.25">
      <c r="A31" s="35">
        <v>558979</v>
      </c>
      <c r="B31" s="35" t="s">
        <v>150</v>
      </c>
      <c r="C31" s="35" t="s">
        <v>182</v>
      </c>
      <c r="D31" s="35" t="s">
        <v>606</v>
      </c>
      <c r="E31" s="35">
        <v>200</v>
      </c>
      <c r="F31" s="34">
        <v>42802</v>
      </c>
    </row>
    <row r="32" spans="1:6" ht="15.75" x14ac:dyDescent="0.25">
      <c r="A32" s="35">
        <v>558979</v>
      </c>
      <c r="B32" s="35" t="s">
        <v>150</v>
      </c>
      <c r="C32" s="35" t="s">
        <v>186</v>
      </c>
      <c r="D32" s="35" t="s">
        <v>607</v>
      </c>
      <c r="E32" s="35">
        <v>200</v>
      </c>
      <c r="F32" s="34">
        <v>42802</v>
      </c>
    </row>
    <row r="33" spans="1:6" ht="15.75" x14ac:dyDescent="0.25">
      <c r="A33" s="35">
        <v>558979</v>
      </c>
      <c r="B33" s="35" t="s">
        <v>150</v>
      </c>
      <c r="C33" s="35" t="s">
        <v>232</v>
      </c>
      <c r="D33" s="35" t="s">
        <v>608</v>
      </c>
      <c r="E33" s="35">
        <v>200</v>
      </c>
      <c r="F33" s="34">
        <v>42802</v>
      </c>
    </row>
    <row r="34" spans="1:6" ht="15.75" x14ac:dyDescent="0.25">
      <c r="A34" s="35">
        <v>558979</v>
      </c>
      <c r="B34" s="35" t="s">
        <v>150</v>
      </c>
      <c r="C34" s="35" t="s">
        <v>184</v>
      </c>
      <c r="D34" s="35" t="s">
        <v>609</v>
      </c>
      <c r="E34" s="35">
        <v>200</v>
      </c>
      <c r="F34" s="34">
        <v>42802</v>
      </c>
    </row>
    <row r="35" spans="1:6" ht="15.75" x14ac:dyDescent="0.25">
      <c r="A35" s="35">
        <v>558979</v>
      </c>
      <c r="B35" s="35" t="s">
        <v>150</v>
      </c>
      <c r="C35" s="35" t="s">
        <v>188</v>
      </c>
      <c r="D35" s="35" t="s">
        <v>610</v>
      </c>
      <c r="E35" s="35">
        <v>225</v>
      </c>
      <c r="F35" s="34">
        <v>42802</v>
      </c>
    </row>
    <row r="36" spans="1:6" ht="15.75" x14ac:dyDescent="0.25">
      <c r="A36" s="35">
        <v>558979</v>
      </c>
      <c r="B36" s="35" t="s">
        <v>150</v>
      </c>
      <c r="C36" s="35" t="s">
        <v>190</v>
      </c>
      <c r="D36" s="35" t="s">
        <v>611</v>
      </c>
      <c r="E36" s="35">
        <v>400</v>
      </c>
      <c r="F36" s="34">
        <v>42802</v>
      </c>
    </row>
    <row r="37" spans="1:6" ht="15.75" x14ac:dyDescent="0.25">
      <c r="A37" s="35">
        <v>558979</v>
      </c>
      <c r="B37" s="35" t="s">
        <v>150</v>
      </c>
      <c r="C37" s="35" t="s">
        <v>163</v>
      </c>
      <c r="D37" s="35" t="s">
        <v>612</v>
      </c>
      <c r="E37" s="35">
        <v>650</v>
      </c>
      <c r="F37" s="34">
        <v>42802</v>
      </c>
    </row>
    <row r="38" spans="1:6" ht="15.75" x14ac:dyDescent="0.25">
      <c r="A38" s="35">
        <v>526712</v>
      </c>
      <c r="B38" s="35" t="s">
        <v>14</v>
      </c>
      <c r="C38" s="35" t="s">
        <v>184</v>
      </c>
      <c r="D38" s="35" t="s">
        <v>613</v>
      </c>
      <c r="E38" s="35">
        <v>14.98</v>
      </c>
      <c r="F38" s="34">
        <v>42803</v>
      </c>
    </row>
    <row r="39" spans="1:6" ht="15.75" x14ac:dyDescent="0.25">
      <c r="A39" s="35">
        <v>526712</v>
      </c>
      <c r="B39" s="35" t="s">
        <v>14</v>
      </c>
      <c r="C39" s="35" t="s">
        <v>184</v>
      </c>
      <c r="D39" s="35" t="s">
        <v>614</v>
      </c>
      <c r="E39" s="35">
        <v>85.6</v>
      </c>
      <c r="F39" s="34">
        <v>42803</v>
      </c>
    </row>
    <row r="40" spans="1:6" ht="15.75" x14ac:dyDescent="0.25">
      <c r="A40" s="35">
        <v>526712</v>
      </c>
      <c r="B40" s="35" t="s">
        <v>14</v>
      </c>
      <c r="C40" s="35" t="s">
        <v>232</v>
      </c>
      <c r="D40" s="35" t="s">
        <v>615</v>
      </c>
      <c r="E40" s="35">
        <v>130.12</v>
      </c>
      <c r="F40" s="34">
        <v>42803</v>
      </c>
    </row>
    <row r="41" spans="1:6" ht="15.75" x14ac:dyDescent="0.25">
      <c r="A41" s="35">
        <v>526712</v>
      </c>
      <c r="B41" s="35" t="s">
        <v>14</v>
      </c>
      <c r="C41" s="35" t="s">
        <v>188</v>
      </c>
      <c r="D41" s="35" t="s">
        <v>616</v>
      </c>
      <c r="E41" s="35">
        <v>130.12</v>
      </c>
      <c r="F41" s="34">
        <v>42803</v>
      </c>
    </row>
    <row r="42" spans="1:6" ht="15.75" x14ac:dyDescent="0.25">
      <c r="A42" s="35">
        <v>587890</v>
      </c>
      <c r="B42" s="35" t="s">
        <v>32</v>
      </c>
      <c r="C42" s="35" t="s">
        <v>348</v>
      </c>
      <c r="D42" s="35" t="s">
        <v>617</v>
      </c>
      <c r="E42" s="35">
        <v>450</v>
      </c>
      <c r="F42" s="34">
        <v>42803</v>
      </c>
    </row>
    <row r="43" spans="1:6" ht="15.75" x14ac:dyDescent="0.25">
      <c r="A43" s="35">
        <v>587890</v>
      </c>
      <c r="B43" s="35" t="s">
        <v>32</v>
      </c>
      <c r="C43" s="35" t="s">
        <v>348</v>
      </c>
      <c r="D43" s="35" t="s">
        <v>618</v>
      </c>
      <c r="E43" s="35">
        <v>477.72</v>
      </c>
      <c r="F43" s="34">
        <v>42803</v>
      </c>
    </row>
    <row r="44" spans="1:6" ht="15.75" x14ac:dyDescent="0.25">
      <c r="A44" s="35">
        <v>587890</v>
      </c>
      <c r="B44" s="35" t="s">
        <v>32</v>
      </c>
      <c r="C44" s="35" t="s">
        <v>619</v>
      </c>
      <c r="D44" s="35" t="s">
        <v>620</v>
      </c>
      <c r="E44" s="35">
        <v>500</v>
      </c>
      <c r="F44" s="34">
        <v>42803</v>
      </c>
    </row>
    <row r="45" spans="1:6" ht="15.75" x14ac:dyDescent="0.25">
      <c r="A45" s="35">
        <v>526742</v>
      </c>
      <c r="B45" s="35" t="s">
        <v>26</v>
      </c>
      <c r="C45" s="35" t="s">
        <v>178</v>
      </c>
      <c r="D45" s="35" t="s">
        <v>621</v>
      </c>
      <c r="E45" s="35">
        <v>587.13</v>
      </c>
      <c r="F45" s="34">
        <v>42803</v>
      </c>
    </row>
    <row r="46" spans="1:6" ht="15.75" x14ac:dyDescent="0.25">
      <c r="A46" s="35">
        <v>587890</v>
      </c>
      <c r="B46" s="35" t="s">
        <v>32</v>
      </c>
      <c r="C46" s="35" t="s">
        <v>348</v>
      </c>
      <c r="D46" s="35" t="s">
        <v>622</v>
      </c>
      <c r="E46" s="35">
        <v>667</v>
      </c>
      <c r="F46" s="34">
        <v>42803</v>
      </c>
    </row>
    <row r="47" spans="1:6" ht="15.75" x14ac:dyDescent="0.25">
      <c r="A47" s="35">
        <v>587890</v>
      </c>
      <c r="B47" s="35" t="s">
        <v>32</v>
      </c>
      <c r="C47" s="35" t="s">
        <v>445</v>
      </c>
      <c r="D47" s="35" t="s">
        <v>623</v>
      </c>
      <c r="E47" s="35">
        <v>817</v>
      </c>
      <c r="F47" s="34">
        <v>42803</v>
      </c>
    </row>
    <row r="48" spans="1:6" ht="15.75" x14ac:dyDescent="0.25">
      <c r="A48" s="35">
        <v>587890</v>
      </c>
      <c r="B48" s="35" t="s">
        <v>32</v>
      </c>
      <c r="C48" s="35" t="s">
        <v>350</v>
      </c>
      <c r="D48" s="35" t="s">
        <v>624</v>
      </c>
      <c r="E48" s="35">
        <v>890.93</v>
      </c>
      <c r="F48" s="34">
        <v>42803</v>
      </c>
    </row>
    <row r="49" spans="1:6" ht="15.75" x14ac:dyDescent="0.25">
      <c r="A49" s="35">
        <v>587890</v>
      </c>
      <c r="B49" s="35" t="s">
        <v>32</v>
      </c>
      <c r="C49" s="35" t="s">
        <v>462</v>
      </c>
      <c r="D49" s="35" t="s">
        <v>625</v>
      </c>
      <c r="E49" s="35">
        <v>1200</v>
      </c>
      <c r="F49" s="34">
        <v>42803</v>
      </c>
    </row>
    <row r="50" spans="1:6" ht="15.75" x14ac:dyDescent="0.25">
      <c r="A50" s="35">
        <v>587890</v>
      </c>
      <c r="B50" s="35" t="s">
        <v>32</v>
      </c>
      <c r="C50" s="35" t="s">
        <v>626</v>
      </c>
      <c r="D50" s="35" t="s">
        <v>627</v>
      </c>
      <c r="E50" s="35">
        <v>1575</v>
      </c>
      <c r="F50" s="34">
        <v>42803</v>
      </c>
    </row>
    <row r="51" spans="1:6" ht="15.75" x14ac:dyDescent="0.25">
      <c r="A51" s="35">
        <v>587890</v>
      </c>
      <c r="B51" s="35" t="s">
        <v>32</v>
      </c>
      <c r="C51" s="35" t="s">
        <v>628</v>
      </c>
      <c r="D51" s="35" t="s">
        <v>629</v>
      </c>
      <c r="E51" s="35">
        <v>1600</v>
      </c>
      <c r="F51" s="34">
        <v>42803</v>
      </c>
    </row>
    <row r="52" spans="1:6" ht="15.75" x14ac:dyDescent="0.25">
      <c r="A52" s="35">
        <v>538110</v>
      </c>
      <c r="B52" s="35" t="s">
        <v>210</v>
      </c>
      <c r="C52" s="35" t="s">
        <v>209</v>
      </c>
      <c r="D52" s="35" t="s">
        <v>630</v>
      </c>
      <c r="E52" s="35">
        <v>-597.79999999999995</v>
      </c>
      <c r="F52" s="34">
        <v>42804</v>
      </c>
    </row>
    <row r="53" spans="1:6" ht="15.75" x14ac:dyDescent="0.25">
      <c r="A53" s="35">
        <v>538110</v>
      </c>
      <c r="B53" s="35" t="s">
        <v>210</v>
      </c>
      <c r="C53" s="35" t="s">
        <v>209</v>
      </c>
      <c r="D53" s="35" t="s">
        <v>630</v>
      </c>
      <c r="E53" s="35">
        <v>-446.5</v>
      </c>
      <c r="F53" s="34">
        <v>42804</v>
      </c>
    </row>
    <row r="54" spans="1:6" ht="15.75" x14ac:dyDescent="0.25">
      <c r="A54" s="35">
        <v>538110</v>
      </c>
      <c r="B54" s="35" t="s">
        <v>210</v>
      </c>
      <c r="C54" s="35" t="s">
        <v>209</v>
      </c>
      <c r="D54" s="35" t="s">
        <v>630</v>
      </c>
      <c r="E54" s="35">
        <v>-368</v>
      </c>
      <c r="F54" s="34">
        <v>42804</v>
      </c>
    </row>
    <row r="55" spans="1:6" ht="15.75" x14ac:dyDescent="0.25">
      <c r="A55" s="35">
        <v>538110</v>
      </c>
      <c r="B55" s="35" t="s">
        <v>210</v>
      </c>
      <c r="C55" s="35" t="s">
        <v>209</v>
      </c>
      <c r="D55" s="35" t="s">
        <v>630</v>
      </c>
      <c r="E55" s="35">
        <v>-322.5</v>
      </c>
      <c r="F55" s="34">
        <v>42804</v>
      </c>
    </row>
    <row r="56" spans="1:6" ht="15.75" x14ac:dyDescent="0.25">
      <c r="A56" s="35">
        <v>538110</v>
      </c>
      <c r="B56" s="35" t="s">
        <v>210</v>
      </c>
      <c r="C56" s="35" t="s">
        <v>209</v>
      </c>
      <c r="D56" s="35" t="s">
        <v>630</v>
      </c>
      <c r="E56" s="35">
        <v>-252</v>
      </c>
      <c r="F56" s="34">
        <v>42804</v>
      </c>
    </row>
    <row r="57" spans="1:6" ht="15.75" x14ac:dyDescent="0.25">
      <c r="A57" s="35">
        <v>527410</v>
      </c>
      <c r="B57" s="35" t="s">
        <v>551</v>
      </c>
      <c r="C57" s="35" t="s">
        <v>209</v>
      </c>
      <c r="D57" s="35" t="s">
        <v>630</v>
      </c>
      <c r="E57" s="35">
        <v>-149.86000000000001</v>
      </c>
      <c r="F57" s="34">
        <v>42804</v>
      </c>
    </row>
    <row r="58" spans="1:6" ht="15.75" x14ac:dyDescent="0.25">
      <c r="A58" s="35">
        <v>558914</v>
      </c>
      <c r="B58" s="35" t="s">
        <v>552</v>
      </c>
      <c r="C58" s="35" t="s">
        <v>209</v>
      </c>
      <c r="D58" s="35" t="s">
        <v>630</v>
      </c>
      <c r="E58" s="35">
        <v>-50</v>
      </c>
      <c r="F58" s="34">
        <v>42804</v>
      </c>
    </row>
    <row r="59" spans="1:6" ht="15.75" x14ac:dyDescent="0.25">
      <c r="A59" s="35">
        <v>558914</v>
      </c>
      <c r="B59" s="35" t="s">
        <v>552</v>
      </c>
      <c r="C59" s="35" t="s">
        <v>209</v>
      </c>
      <c r="D59" s="35" t="s">
        <v>630</v>
      </c>
      <c r="E59" s="35">
        <v>-40</v>
      </c>
      <c r="F59" s="34">
        <v>42804</v>
      </c>
    </row>
    <row r="60" spans="1:6" ht="15.75" x14ac:dyDescent="0.25">
      <c r="A60" s="35">
        <v>558914</v>
      </c>
      <c r="B60" s="35" t="s">
        <v>552</v>
      </c>
      <c r="C60" s="35" t="s">
        <v>209</v>
      </c>
      <c r="D60" s="35" t="s">
        <v>630</v>
      </c>
      <c r="E60" s="35">
        <v>-30</v>
      </c>
      <c r="F60" s="34">
        <v>42804</v>
      </c>
    </row>
    <row r="61" spans="1:6" ht="15.75" x14ac:dyDescent="0.25">
      <c r="A61" s="35">
        <v>558914</v>
      </c>
      <c r="B61" s="35" t="s">
        <v>552</v>
      </c>
      <c r="C61" s="35" t="s">
        <v>209</v>
      </c>
      <c r="D61" s="35" t="s">
        <v>630</v>
      </c>
      <c r="E61" s="35">
        <v>30</v>
      </c>
      <c r="F61" s="34">
        <v>42804</v>
      </c>
    </row>
    <row r="62" spans="1:6" ht="15.75" x14ac:dyDescent="0.25">
      <c r="A62" s="35">
        <v>558914</v>
      </c>
      <c r="B62" s="35" t="s">
        <v>552</v>
      </c>
      <c r="C62" s="35" t="s">
        <v>209</v>
      </c>
      <c r="D62" s="35" t="s">
        <v>630</v>
      </c>
      <c r="E62" s="35">
        <v>40</v>
      </c>
      <c r="F62" s="34">
        <v>42804</v>
      </c>
    </row>
    <row r="63" spans="1:6" ht="15.75" x14ac:dyDescent="0.25">
      <c r="A63" s="35">
        <v>558914</v>
      </c>
      <c r="B63" s="35" t="s">
        <v>552</v>
      </c>
      <c r="C63" s="35" t="s">
        <v>209</v>
      </c>
      <c r="D63" s="35" t="s">
        <v>630</v>
      </c>
      <c r="E63" s="35">
        <v>50</v>
      </c>
      <c r="F63" s="34">
        <v>42804</v>
      </c>
    </row>
    <row r="64" spans="1:6" ht="15.75" x14ac:dyDescent="0.25">
      <c r="A64" s="35">
        <v>527410</v>
      </c>
      <c r="B64" s="35" t="s">
        <v>551</v>
      </c>
      <c r="C64" s="35" t="s">
        <v>209</v>
      </c>
      <c r="D64" s="35" t="s">
        <v>630</v>
      </c>
      <c r="E64" s="35">
        <v>97.36</v>
      </c>
      <c r="F64" s="34">
        <v>42804</v>
      </c>
    </row>
    <row r="65" spans="1:6" ht="15.75" x14ac:dyDescent="0.25">
      <c r="A65" s="35">
        <v>538110</v>
      </c>
      <c r="B65" s="35" t="s">
        <v>210</v>
      </c>
      <c r="C65" s="35" t="s">
        <v>209</v>
      </c>
      <c r="D65" s="35" t="s">
        <v>630</v>
      </c>
      <c r="E65" s="35">
        <v>252</v>
      </c>
      <c r="F65" s="34">
        <v>42804</v>
      </c>
    </row>
    <row r="66" spans="1:6" ht="15.75" x14ac:dyDescent="0.25">
      <c r="A66" s="35">
        <v>538110</v>
      </c>
      <c r="B66" s="35" t="s">
        <v>210</v>
      </c>
      <c r="C66" s="35" t="s">
        <v>209</v>
      </c>
      <c r="D66" s="35" t="s">
        <v>630</v>
      </c>
      <c r="E66" s="35">
        <v>322.5</v>
      </c>
      <c r="F66" s="34">
        <v>42804</v>
      </c>
    </row>
    <row r="67" spans="1:6" ht="15.75" x14ac:dyDescent="0.25">
      <c r="A67" s="35">
        <v>538110</v>
      </c>
      <c r="B67" s="35" t="s">
        <v>210</v>
      </c>
      <c r="C67" s="35" t="s">
        <v>209</v>
      </c>
      <c r="D67" s="35" t="s">
        <v>630</v>
      </c>
      <c r="E67" s="35">
        <v>368</v>
      </c>
      <c r="F67" s="34">
        <v>42804</v>
      </c>
    </row>
    <row r="68" spans="1:6" ht="15.75" x14ac:dyDescent="0.25">
      <c r="A68" s="35">
        <v>538110</v>
      </c>
      <c r="B68" s="35" t="s">
        <v>210</v>
      </c>
      <c r="C68" s="35" t="s">
        <v>209</v>
      </c>
      <c r="D68" s="35" t="s">
        <v>630</v>
      </c>
      <c r="E68" s="35">
        <v>446.5</v>
      </c>
      <c r="F68" s="34">
        <v>42804</v>
      </c>
    </row>
    <row r="69" spans="1:6" ht="15.75" x14ac:dyDescent="0.25">
      <c r="A69" s="35">
        <v>538110</v>
      </c>
      <c r="B69" s="35" t="s">
        <v>210</v>
      </c>
      <c r="C69" s="35" t="s">
        <v>209</v>
      </c>
      <c r="D69" s="35" t="s">
        <v>630</v>
      </c>
      <c r="E69" s="35">
        <v>597.79999999999995</v>
      </c>
      <c r="F69" s="34">
        <v>42804</v>
      </c>
    </row>
    <row r="70" spans="1:6" ht="15.75" x14ac:dyDescent="0.25">
      <c r="A70" s="35">
        <v>587890</v>
      </c>
      <c r="B70" s="35" t="s">
        <v>32</v>
      </c>
      <c r="C70" s="35" t="s">
        <v>631</v>
      </c>
      <c r="D70" s="35" t="s">
        <v>632</v>
      </c>
      <c r="E70" s="35">
        <v>1500</v>
      </c>
      <c r="F70" s="34">
        <v>42811</v>
      </c>
    </row>
    <row r="71" spans="1:6" ht="15.75" x14ac:dyDescent="0.25">
      <c r="A71" s="35">
        <v>526741</v>
      </c>
      <c r="B71" s="35" t="s">
        <v>23</v>
      </c>
      <c r="C71" s="35" t="s">
        <v>633</v>
      </c>
      <c r="D71" s="35" t="s">
        <v>634</v>
      </c>
      <c r="E71" s="35">
        <v>4926.8</v>
      </c>
      <c r="F71" s="34">
        <v>42811</v>
      </c>
    </row>
    <row r="72" spans="1:6" ht="15.75" x14ac:dyDescent="0.25">
      <c r="A72" s="35">
        <v>526742</v>
      </c>
      <c r="B72" s="35" t="s">
        <v>26</v>
      </c>
      <c r="C72" s="35" t="s">
        <v>635</v>
      </c>
      <c r="D72" s="35" t="s">
        <v>636</v>
      </c>
      <c r="E72" s="35">
        <v>273.76</v>
      </c>
      <c r="F72" s="34">
        <v>42814</v>
      </c>
    </row>
    <row r="73" spans="1:6" ht="15.75" x14ac:dyDescent="0.25">
      <c r="A73" s="35">
        <v>526712</v>
      </c>
      <c r="B73" s="35" t="s">
        <v>14</v>
      </c>
      <c r="C73" s="35" t="s">
        <v>635</v>
      </c>
      <c r="D73" s="35" t="s">
        <v>636</v>
      </c>
      <c r="E73" s="35">
        <v>378</v>
      </c>
      <c r="F73" s="34">
        <v>42814</v>
      </c>
    </row>
    <row r="74" spans="1:6" ht="15.75" x14ac:dyDescent="0.25">
      <c r="A74" s="35">
        <v>526741</v>
      </c>
      <c r="B74" s="35" t="s">
        <v>23</v>
      </c>
      <c r="C74" s="35" t="s">
        <v>635</v>
      </c>
      <c r="D74" s="35" t="s">
        <v>636</v>
      </c>
      <c r="E74" s="35">
        <v>3095.2</v>
      </c>
      <c r="F74" s="34">
        <v>42814</v>
      </c>
    </row>
    <row r="75" spans="1:6" ht="15.75" x14ac:dyDescent="0.25">
      <c r="A75" s="35">
        <v>526742</v>
      </c>
      <c r="B75" s="35" t="s">
        <v>26</v>
      </c>
      <c r="C75" s="35" t="s">
        <v>637</v>
      </c>
      <c r="D75" s="35" t="s">
        <v>638</v>
      </c>
      <c r="E75" s="35">
        <v>-63</v>
      </c>
      <c r="F75" s="34">
        <v>42817</v>
      </c>
    </row>
    <row r="76" spans="1:6" ht="15.75" x14ac:dyDescent="0.25">
      <c r="A76" s="35">
        <v>526210</v>
      </c>
      <c r="B76" s="35" t="s">
        <v>639</v>
      </c>
      <c r="C76" s="35" t="s">
        <v>640</v>
      </c>
      <c r="D76" s="35" t="s">
        <v>641</v>
      </c>
      <c r="E76" s="35">
        <v>448.6</v>
      </c>
      <c r="F76" s="34">
        <v>42822</v>
      </c>
    </row>
    <row r="77" spans="1:6" ht="15.75" x14ac:dyDescent="0.25">
      <c r="A77" s="35">
        <v>515130</v>
      </c>
      <c r="B77" s="35" t="s">
        <v>10</v>
      </c>
      <c r="C77" s="35" t="s">
        <v>165</v>
      </c>
      <c r="D77" s="35" t="s">
        <v>642</v>
      </c>
      <c r="E77" s="35">
        <v>97.04</v>
      </c>
      <c r="F77" s="34">
        <v>42825</v>
      </c>
    </row>
    <row r="78" spans="1:6" ht="15.75" x14ac:dyDescent="0.25">
      <c r="A78" s="35">
        <v>515120</v>
      </c>
      <c r="B78" s="35" t="s">
        <v>9</v>
      </c>
      <c r="C78" s="35" t="s">
        <v>165</v>
      </c>
      <c r="D78" s="35" t="s">
        <v>642</v>
      </c>
      <c r="E78" s="35">
        <v>414.9</v>
      </c>
      <c r="F78" s="34">
        <v>42825</v>
      </c>
    </row>
    <row r="79" spans="1:6" ht="15.75" x14ac:dyDescent="0.25">
      <c r="A79" s="35">
        <v>515530</v>
      </c>
      <c r="B79" s="35" t="s">
        <v>13</v>
      </c>
      <c r="C79" s="35" t="s">
        <v>165</v>
      </c>
      <c r="D79" s="35" t="s">
        <v>642</v>
      </c>
      <c r="E79" s="35">
        <v>427.92</v>
      </c>
      <c r="F79" s="34">
        <v>42825</v>
      </c>
    </row>
    <row r="80" spans="1:6" ht="15.75" x14ac:dyDescent="0.25">
      <c r="A80" s="35">
        <v>515420</v>
      </c>
      <c r="B80" s="35" t="s">
        <v>12</v>
      </c>
      <c r="C80" s="35" t="s">
        <v>165</v>
      </c>
      <c r="D80" s="35" t="s">
        <v>642</v>
      </c>
      <c r="E80" s="35">
        <v>442.66</v>
      </c>
      <c r="F80" s="34">
        <v>42825</v>
      </c>
    </row>
    <row r="81" spans="1:6" ht="15.75" x14ac:dyDescent="0.25">
      <c r="A81" s="35">
        <v>515410</v>
      </c>
      <c r="B81" s="35" t="s">
        <v>11</v>
      </c>
      <c r="C81" s="35" t="s">
        <v>165</v>
      </c>
      <c r="D81" s="35" t="s">
        <v>642</v>
      </c>
      <c r="E81" s="35">
        <v>473.1</v>
      </c>
      <c r="F81" s="34">
        <v>42825</v>
      </c>
    </row>
    <row r="82" spans="1:6" ht="15.75" x14ac:dyDescent="0.25">
      <c r="A82" s="35">
        <v>511120</v>
      </c>
      <c r="B82" s="35" t="s">
        <v>6</v>
      </c>
      <c r="C82" s="35" t="s">
        <v>165</v>
      </c>
      <c r="D82" s="35" t="s">
        <v>642</v>
      </c>
      <c r="E82" s="35">
        <v>6916.64</v>
      </c>
      <c r="F82" s="34">
        <v>42825</v>
      </c>
    </row>
  </sheetData>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BD019-1D95-4846-B230-D7513FEBD55A}">
  <dimension ref="A1:F77"/>
  <sheetViews>
    <sheetView topLeftCell="A28" workbookViewId="0">
      <selection activeCell="C12" sqref="C12"/>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526712</v>
      </c>
      <c r="B2" s="35" t="s">
        <v>14</v>
      </c>
      <c r="C2" s="35" t="s">
        <v>163</v>
      </c>
      <c r="D2" s="35" t="s">
        <v>496</v>
      </c>
      <c r="E2" s="35">
        <v>51.36</v>
      </c>
      <c r="F2" s="34">
        <v>42767</v>
      </c>
    </row>
    <row r="3" spans="1:6" ht="15.75" x14ac:dyDescent="0.25">
      <c r="A3" s="35">
        <v>526712</v>
      </c>
      <c r="B3" s="35" t="s">
        <v>14</v>
      </c>
      <c r="C3" s="35" t="s">
        <v>232</v>
      </c>
      <c r="D3" s="35" t="s">
        <v>497</v>
      </c>
      <c r="E3" s="35">
        <v>61</v>
      </c>
      <c r="F3" s="34">
        <v>42767</v>
      </c>
    </row>
    <row r="4" spans="1:6" ht="15.75" x14ac:dyDescent="0.25">
      <c r="A4" s="35">
        <v>526712</v>
      </c>
      <c r="B4" s="35" t="s">
        <v>14</v>
      </c>
      <c r="C4" s="35" t="s">
        <v>281</v>
      </c>
      <c r="D4" s="35" t="s">
        <v>498</v>
      </c>
      <c r="E4" s="35">
        <v>66.34</v>
      </c>
      <c r="F4" s="34">
        <v>42767</v>
      </c>
    </row>
    <row r="5" spans="1:6" ht="15.75" x14ac:dyDescent="0.25">
      <c r="A5" s="35">
        <v>526712</v>
      </c>
      <c r="B5" s="35" t="s">
        <v>14</v>
      </c>
      <c r="C5" s="35" t="s">
        <v>163</v>
      </c>
      <c r="D5" s="35" t="s">
        <v>499</v>
      </c>
      <c r="E5" s="35">
        <v>66.34</v>
      </c>
      <c r="F5" s="34">
        <v>42767</v>
      </c>
    </row>
    <row r="6" spans="1:6" ht="15.75" x14ac:dyDescent="0.25">
      <c r="A6" s="35">
        <v>526712</v>
      </c>
      <c r="B6" s="35" t="s">
        <v>14</v>
      </c>
      <c r="C6" s="35" t="s">
        <v>500</v>
      </c>
      <c r="D6" s="35" t="s">
        <v>501</v>
      </c>
      <c r="E6" s="35">
        <v>66.34</v>
      </c>
      <c r="F6" s="34">
        <v>42767</v>
      </c>
    </row>
    <row r="7" spans="1:6" ht="15.75" x14ac:dyDescent="0.25">
      <c r="A7" s="35">
        <v>526712</v>
      </c>
      <c r="B7" s="35" t="s">
        <v>14</v>
      </c>
      <c r="C7" s="35" t="s">
        <v>184</v>
      </c>
      <c r="D7" s="35" t="s">
        <v>502</v>
      </c>
      <c r="E7" s="35">
        <v>74.900000000000006</v>
      </c>
      <c r="F7" s="34">
        <v>42767</v>
      </c>
    </row>
    <row r="8" spans="1:6" ht="15.75" x14ac:dyDescent="0.25">
      <c r="A8" s="35">
        <v>526712</v>
      </c>
      <c r="B8" s="35" t="s">
        <v>14</v>
      </c>
      <c r="C8" s="35" t="s">
        <v>411</v>
      </c>
      <c r="D8" s="35" t="s">
        <v>503</v>
      </c>
      <c r="E8" s="35">
        <v>98.44</v>
      </c>
      <c r="F8" s="34">
        <v>42767</v>
      </c>
    </row>
    <row r="9" spans="1:6" ht="15.75" x14ac:dyDescent="0.25">
      <c r="A9" s="35">
        <v>526712</v>
      </c>
      <c r="B9" s="35" t="s">
        <v>14</v>
      </c>
      <c r="C9" s="35" t="s">
        <v>265</v>
      </c>
      <c r="D9" s="35" t="s">
        <v>504</v>
      </c>
      <c r="E9" s="35">
        <v>111.42</v>
      </c>
      <c r="F9" s="34">
        <v>42767</v>
      </c>
    </row>
    <row r="10" spans="1:6" ht="15.75" x14ac:dyDescent="0.25">
      <c r="A10" s="35">
        <v>526712</v>
      </c>
      <c r="B10" s="35" t="s">
        <v>14</v>
      </c>
      <c r="C10" s="35" t="s">
        <v>505</v>
      </c>
      <c r="D10" s="35" t="s">
        <v>506</v>
      </c>
      <c r="E10" s="35">
        <v>112.44</v>
      </c>
      <c r="F10" s="34">
        <v>42767</v>
      </c>
    </row>
    <row r="11" spans="1:6" ht="15.75" x14ac:dyDescent="0.25">
      <c r="A11" s="35">
        <v>526712</v>
      </c>
      <c r="B11" s="35" t="s">
        <v>14</v>
      </c>
      <c r="C11" s="35" t="s">
        <v>507</v>
      </c>
      <c r="D11" s="35" t="s">
        <v>508</v>
      </c>
      <c r="E11" s="35">
        <v>121.62</v>
      </c>
      <c r="F11" s="34">
        <v>42767</v>
      </c>
    </row>
    <row r="12" spans="1:6" ht="15.75" x14ac:dyDescent="0.25">
      <c r="A12" s="35">
        <v>526741</v>
      </c>
      <c r="B12" s="35" t="s">
        <v>23</v>
      </c>
      <c r="C12" s="35" t="s">
        <v>178</v>
      </c>
      <c r="D12" s="35" t="s">
        <v>509</v>
      </c>
      <c r="E12" s="35">
        <v>130.53</v>
      </c>
      <c r="F12" s="34">
        <v>42767</v>
      </c>
    </row>
    <row r="13" spans="1:6" ht="15.75" x14ac:dyDescent="0.25">
      <c r="A13" s="35">
        <v>526712</v>
      </c>
      <c r="B13" s="35" t="s">
        <v>14</v>
      </c>
      <c r="C13" s="35" t="s">
        <v>188</v>
      </c>
      <c r="D13" s="35" t="s">
        <v>510</v>
      </c>
      <c r="E13" s="35">
        <v>141.68</v>
      </c>
      <c r="F13" s="34">
        <v>42767</v>
      </c>
    </row>
    <row r="14" spans="1:6" ht="15.75" x14ac:dyDescent="0.25">
      <c r="A14" s="35">
        <v>526712</v>
      </c>
      <c r="B14" s="35" t="s">
        <v>14</v>
      </c>
      <c r="C14" s="35" t="s">
        <v>232</v>
      </c>
      <c r="D14" s="35" t="s">
        <v>511</v>
      </c>
      <c r="E14" s="35">
        <v>141.68</v>
      </c>
      <c r="F14" s="34">
        <v>42767</v>
      </c>
    </row>
    <row r="15" spans="1:6" ht="15.75" x14ac:dyDescent="0.25">
      <c r="A15" s="35">
        <v>526712</v>
      </c>
      <c r="B15" s="35" t="s">
        <v>14</v>
      </c>
      <c r="C15" s="35" t="s">
        <v>512</v>
      </c>
      <c r="D15" s="35" t="s">
        <v>513</v>
      </c>
      <c r="E15" s="35">
        <v>143.38</v>
      </c>
      <c r="F15" s="34">
        <v>42767</v>
      </c>
    </row>
    <row r="16" spans="1:6" ht="15.75" x14ac:dyDescent="0.25">
      <c r="A16" s="35">
        <v>587890</v>
      </c>
      <c r="B16" s="35" t="s">
        <v>32</v>
      </c>
      <c r="C16" s="35" t="s">
        <v>348</v>
      </c>
      <c r="D16" s="35" t="s">
        <v>514</v>
      </c>
      <c r="E16" s="35">
        <v>190</v>
      </c>
      <c r="F16" s="34">
        <v>42767</v>
      </c>
    </row>
    <row r="17" spans="1:6" ht="15.75" x14ac:dyDescent="0.25">
      <c r="A17" s="35">
        <v>587890</v>
      </c>
      <c r="B17" s="35" t="s">
        <v>32</v>
      </c>
      <c r="C17" s="35" t="s">
        <v>348</v>
      </c>
      <c r="D17" s="35" t="s">
        <v>515</v>
      </c>
      <c r="E17" s="35">
        <v>332.09</v>
      </c>
      <c r="F17" s="34">
        <v>42767</v>
      </c>
    </row>
    <row r="18" spans="1:6" ht="15.75" x14ac:dyDescent="0.25">
      <c r="A18" s="35">
        <v>587890</v>
      </c>
      <c r="B18" s="35" t="s">
        <v>32</v>
      </c>
      <c r="C18" s="35" t="s">
        <v>462</v>
      </c>
      <c r="D18" s="35" t="s">
        <v>516</v>
      </c>
      <c r="E18" s="35">
        <v>600</v>
      </c>
      <c r="F18" s="34">
        <v>42767</v>
      </c>
    </row>
    <row r="19" spans="1:6" ht="15.75" x14ac:dyDescent="0.25">
      <c r="A19" s="35">
        <v>526742</v>
      </c>
      <c r="B19" s="35" t="s">
        <v>26</v>
      </c>
      <c r="C19" s="35" t="s">
        <v>517</v>
      </c>
      <c r="D19" s="35" t="s">
        <v>518</v>
      </c>
      <c r="E19" s="35">
        <v>680</v>
      </c>
      <c r="F19" s="34">
        <v>42767</v>
      </c>
    </row>
    <row r="20" spans="1:6" ht="15.75" x14ac:dyDescent="0.25">
      <c r="A20" s="35">
        <v>587890</v>
      </c>
      <c r="B20" s="35" t="s">
        <v>32</v>
      </c>
      <c r="C20" s="35" t="s">
        <v>348</v>
      </c>
      <c r="D20" s="35" t="s">
        <v>519</v>
      </c>
      <c r="E20" s="35">
        <v>2079</v>
      </c>
      <c r="F20" s="34">
        <v>42767</v>
      </c>
    </row>
    <row r="21" spans="1:6" ht="15.75" x14ac:dyDescent="0.25">
      <c r="A21" s="35">
        <v>526741</v>
      </c>
      <c r="B21" s="35" t="s">
        <v>23</v>
      </c>
      <c r="C21" s="35" t="s">
        <v>520</v>
      </c>
      <c r="D21" s="35" t="s">
        <v>521</v>
      </c>
      <c r="E21" s="35">
        <v>6762.8</v>
      </c>
      <c r="F21" s="34">
        <v>42767</v>
      </c>
    </row>
    <row r="22" spans="1:6" ht="15.75" x14ac:dyDescent="0.25">
      <c r="A22" s="35">
        <v>526150</v>
      </c>
      <c r="B22" s="35" t="s">
        <v>258</v>
      </c>
      <c r="C22" s="35" t="s">
        <v>178</v>
      </c>
      <c r="D22" s="35" t="s">
        <v>522</v>
      </c>
      <c r="E22" s="35">
        <v>18.7</v>
      </c>
      <c r="F22" s="34">
        <v>42769</v>
      </c>
    </row>
    <row r="23" spans="1:6" ht="15.75" x14ac:dyDescent="0.25">
      <c r="A23" s="35">
        <v>526120</v>
      </c>
      <c r="B23" s="35" t="s">
        <v>217</v>
      </c>
      <c r="C23" s="35" t="s">
        <v>178</v>
      </c>
      <c r="D23" s="35" t="s">
        <v>522</v>
      </c>
      <c r="E23" s="35">
        <v>75.44</v>
      </c>
      <c r="F23" s="34">
        <v>42769</v>
      </c>
    </row>
    <row r="24" spans="1:6" ht="15.75" x14ac:dyDescent="0.25">
      <c r="A24" s="35">
        <v>527120</v>
      </c>
      <c r="B24" s="35" t="s">
        <v>143</v>
      </c>
      <c r="C24" s="35" t="s">
        <v>144</v>
      </c>
      <c r="D24" s="35" t="s">
        <v>523</v>
      </c>
      <c r="E24" s="35">
        <v>5.04</v>
      </c>
      <c r="F24" s="34">
        <v>42772</v>
      </c>
    </row>
    <row r="25" spans="1:6" ht="15.75" x14ac:dyDescent="0.25">
      <c r="A25" s="35">
        <v>527120</v>
      </c>
      <c r="B25" s="35" t="s">
        <v>143</v>
      </c>
      <c r="C25" s="35" t="s">
        <v>144</v>
      </c>
      <c r="D25" s="35" t="s">
        <v>523</v>
      </c>
      <c r="E25" s="35">
        <v>19.54</v>
      </c>
      <c r="F25" s="34">
        <v>42772</v>
      </c>
    </row>
    <row r="26" spans="1:6" ht="15.75" x14ac:dyDescent="0.25">
      <c r="A26" s="35">
        <v>487110</v>
      </c>
      <c r="B26" s="35" t="s">
        <v>36</v>
      </c>
      <c r="C26" s="35" t="s">
        <v>524</v>
      </c>
      <c r="D26" s="35" t="s">
        <v>525</v>
      </c>
      <c r="E26" s="35">
        <v>7447.83</v>
      </c>
      <c r="F26" s="34">
        <v>42772</v>
      </c>
    </row>
    <row r="27" spans="1:6" ht="15.75" x14ac:dyDescent="0.25">
      <c r="A27" s="35">
        <v>487110</v>
      </c>
      <c r="B27" s="35" t="s">
        <v>36</v>
      </c>
      <c r="C27" s="35" t="s">
        <v>526</v>
      </c>
      <c r="D27" s="35" t="s">
        <v>527</v>
      </c>
      <c r="E27" s="35">
        <v>8087.2</v>
      </c>
      <c r="F27" s="34">
        <v>42773</v>
      </c>
    </row>
    <row r="28" spans="1:6" ht="15.75" x14ac:dyDescent="0.25">
      <c r="A28" s="35">
        <v>487110</v>
      </c>
      <c r="B28" s="35" t="s">
        <v>36</v>
      </c>
      <c r="C28" s="35" t="s">
        <v>528</v>
      </c>
      <c r="D28" s="35" t="s">
        <v>529</v>
      </c>
      <c r="E28" s="35">
        <v>23.24</v>
      </c>
      <c r="F28" s="34">
        <v>42774</v>
      </c>
    </row>
    <row r="29" spans="1:6" ht="15.75" x14ac:dyDescent="0.25">
      <c r="A29" s="35">
        <v>558979</v>
      </c>
      <c r="B29" s="35" t="s">
        <v>150</v>
      </c>
      <c r="C29" s="35" t="s">
        <v>315</v>
      </c>
      <c r="D29" s="35" t="s">
        <v>530</v>
      </c>
      <c r="E29" s="35">
        <v>125</v>
      </c>
      <c r="F29" s="34">
        <v>42774</v>
      </c>
    </row>
    <row r="30" spans="1:6" ht="15.75" x14ac:dyDescent="0.25">
      <c r="A30" s="35">
        <v>558979</v>
      </c>
      <c r="B30" s="35" t="s">
        <v>150</v>
      </c>
      <c r="C30" s="35" t="s">
        <v>323</v>
      </c>
      <c r="D30" s="35" t="s">
        <v>531</v>
      </c>
      <c r="E30" s="35">
        <v>125</v>
      </c>
      <c r="F30" s="34">
        <v>42774</v>
      </c>
    </row>
    <row r="31" spans="1:6" ht="15.75" x14ac:dyDescent="0.25">
      <c r="A31" s="35">
        <v>558979</v>
      </c>
      <c r="B31" s="35" t="s">
        <v>150</v>
      </c>
      <c r="C31" s="35" t="s">
        <v>321</v>
      </c>
      <c r="D31" s="35" t="s">
        <v>532</v>
      </c>
      <c r="E31" s="35">
        <v>125</v>
      </c>
      <c r="F31" s="34">
        <v>42774</v>
      </c>
    </row>
    <row r="32" spans="1:6" ht="15.75" x14ac:dyDescent="0.25">
      <c r="A32" s="35">
        <v>558979</v>
      </c>
      <c r="B32" s="35" t="s">
        <v>150</v>
      </c>
      <c r="C32" s="35" t="s">
        <v>325</v>
      </c>
      <c r="D32" s="35" t="s">
        <v>533</v>
      </c>
      <c r="E32" s="35">
        <v>125</v>
      </c>
      <c r="F32" s="34">
        <v>42774</v>
      </c>
    </row>
    <row r="33" spans="1:6" ht="15.75" x14ac:dyDescent="0.25">
      <c r="A33" s="35">
        <v>558979</v>
      </c>
      <c r="B33" s="35" t="s">
        <v>150</v>
      </c>
      <c r="C33" s="35" t="s">
        <v>311</v>
      </c>
      <c r="D33" s="35" t="s">
        <v>534</v>
      </c>
      <c r="E33" s="35">
        <v>125</v>
      </c>
      <c r="F33" s="34">
        <v>42774</v>
      </c>
    </row>
    <row r="34" spans="1:6" ht="15.75" x14ac:dyDescent="0.25">
      <c r="A34" s="35">
        <v>558979</v>
      </c>
      <c r="B34" s="35" t="s">
        <v>150</v>
      </c>
      <c r="C34" s="35" t="s">
        <v>386</v>
      </c>
      <c r="D34" s="35" t="s">
        <v>535</v>
      </c>
      <c r="E34" s="35">
        <v>125</v>
      </c>
      <c r="F34" s="34">
        <v>42774</v>
      </c>
    </row>
    <row r="35" spans="1:6" ht="15.75" x14ac:dyDescent="0.25">
      <c r="A35" s="35">
        <v>558979</v>
      </c>
      <c r="B35" s="35" t="s">
        <v>150</v>
      </c>
      <c r="C35" s="35" t="s">
        <v>319</v>
      </c>
      <c r="D35" s="35" t="s">
        <v>536</v>
      </c>
      <c r="E35" s="35">
        <v>125</v>
      </c>
      <c r="F35" s="34">
        <v>42774</v>
      </c>
    </row>
    <row r="36" spans="1:6" ht="15.75" x14ac:dyDescent="0.25">
      <c r="A36" s="35">
        <v>558979</v>
      </c>
      <c r="B36" s="35" t="s">
        <v>150</v>
      </c>
      <c r="C36" s="35" t="s">
        <v>309</v>
      </c>
      <c r="D36" s="35" t="s">
        <v>537</v>
      </c>
      <c r="E36" s="35">
        <v>125</v>
      </c>
      <c r="F36" s="34">
        <v>42774</v>
      </c>
    </row>
    <row r="37" spans="1:6" ht="15.75" x14ac:dyDescent="0.25">
      <c r="A37" s="35">
        <v>558979</v>
      </c>
      <c r="B37" s="35" t="s">
        <v>150</v>
      </c>
      <c r="C37" s="35" t="s">
        <v>327</v>
      </c>
      <c r="D37" s="35" t="s">
        <v>538</v>
      </c>
      <c r="E37" s="35">
        <v>125</v>
      </c>
      <c r="F37" s="34">
        <v>42774</v>
      </c>
    </row>
    <row r="38" spans="1:6" ht="15.75" x14ac:dyDescent="0.25">
      <c r="A38" s="35">
        <v>558979</v>
      </c>
      <c r="B38" s="35" t="s">
        <v>150</v>
      </c>
      <c r="C38" s="35" t="s">
        <v>151</v>
      </c>
      <c r="D38" s="35" t="s">
        <v>539</v>
      </c>
      <c r="E38" s="35">
        <v>125</v>
      </c>
      <c r="F38" s="34">
        <v>42774</v>
      </c>
    </row>
    <row r="39" spans="1:6" ht="15.75" x14ac:dyDescent="0.25">
      <c r="A39" s="35">
        <v>558979</v>
      </c>
      <c r="B39" s="35" t="s">
        <v>150</v>
      </c>
      <c r="C39" s="35" t="s">
        <v>317</v>
      </c>
      <c r="D39" s="35" t="s">
        <v>540</v>
      </c>
      <c r="E39" s="35">
        <v>125</v>
      </c>
      <c r="F39" s="34">
        <v>42774</v>
      </c>
    </row>
    <row r="40" spans="1:6" ht="15.75" x14ac:dyDescent="0.25">
      <c r="A40" s="35">
        <v>558979</v>
      </c>
      <c r="B40" s="35" t="s">
        <v>150</v>
      </c>
      <c r="C40" s="35" t="s">
        <v>186</v>
      </c>
      <c r="D40" s="35" t="s">
        <v>541</v>
      </c>
      <c r="E40" s="35">
        <v>200</v>
      </c>
      <c r="F40" s="34">
        <v>42774</v>
      </c>
    </row>
    <row r="41" spans="1:6" ht="15.75" x14ac:dyDescent="0.25">
      <c r="A41" s="35">
        <v>558979</v>
      </c>
      <c r="B41" s="35" t="s">
        <v>150</v>
      </c>
      <c r="C41" s="35" t="s">
        <v>184</v>
      </c>
      <c r="D41" s="35" t="s">
        <v>542</v>
      </c>
      <c r="E41" s="35">
        <v>200</v>
      </c>
      <c r="F41" s="34">
        <v>42774</v>
      </c>
    </row>
    <row r="42" spans="1:6" ht="15.75" x14ac:dyDescent="0.25">
      <c r="A42" s="35">
        <v>558979</v>
      </c>
      <c r="B42" s="35" t="s">
        <v>150</v>
      </c>
      <c r="C42" s="35" t="s">
        <v>182</v>
      </c>
      <c r="D42" s="35" t="s">
        <v>543</v>
      </c>
      <c r="E42" s="35">
        <v>200</v>
      </c>
      <c r="F42" s="34">
        <v>42774</v>
      </c>
    </row>
    <row r="43" spans="1:6" ht="15.75" x14ac:dyDescent="0.25">
      <c r="A43" s="35">
        <v>558979</v>
      </c>
      <c r="B43" s="35" t="s">
        <v>150</v>
      </c>
      <c r="C43" s="35" t="s">
        <v>232</v>
      </c>
      <c r="D43" s="35" t="s">
        <v>544</v>
      </c>
      <c r="E43" s="35">
        <v>200</v>
      </c>
      <c r="F43" s="34">
        <v>42774</v>
      </c>
    </row>
    <row r="44" spans="1:6" ht="15.75" x14ac:dyDescent="0.25">
      <c r="A44" s="35">
        <v>558979</v>
      </c>
      <c r="B44" s="35" t="s">
        <v>150</v>
      </c>
      <c r="C44" s="35" t="s">
        <v>188</v>
      </c>
      <c r="D44" s="35" t="s">
        <v>545</v>
      </c>
      <c r="E44" s="35">
        <v>225</v>
      </c>
      <c r="F44" s="34">
        <v>42774</v>
      </c>
    </row>
    <row r="45" spans="1:6" ht="15.75" x14ac:dyDescent="0.25">
      <c r="A45" s="35">
        <v>558979</v>
      </c>
      <c r="B45" s="35" t="s">
        <v>150</v>
      </c>
      <c r="C45" s="35" t="s">
        <v>190</v>
      </c>
      <c r="D45" s="35" t="s">
        <v>546</v>
      </c>
      <c r="E45" s="35">
        <v>400</v>
      </c>
      <c r="F45" s="34">
        <v>42774</v>
      </c>
    </row>
    <row r="46" spans="1:6" ht="15.75" x14ac:dyDescent="0.25">
      <c r="A46" s="35">
        <v>487110</v>
      </c>
      <c r="B46" s="35" t="s">
        <v>36</v>
      </c>
      <c r="C46" s="35" t="s">
        <v>547</v>
      </c>
      <c r="D46" s="35" t="s">
        <v>529</v>
      </c>
      <c r="E46" s="35">
        <v>557.75</v>
      </c>
      <c r="F46" s="34">
        <v>42774</v>
      </c>
    </row>
    <row r="47" spans="1:6" ht="15.75" x14ac:dyDescent="0.25">
      <c r="A47" s="35">
        <v>558979</v>
      </c>
      <c r="B47" s="35" t="s">
        <v>150</v>
      </c>
      <c r="C47" s="35" t="s">
        <v>163</v>
      </c>
      <c r="D47" s="35" t="s">
        <v>548</v>
      </c>
      <c r="E47" s="35">
        <v>650</v>
      </c>
      <c r="F47" s="34">
        <v>42774</v>
      </c>
    </row>
    <row r="48" spans="1:6" ht="15.75" x14ac:dyDescent="0.25">
      <c r="A48" s="35">
        <v>487110</v>
      </c>
      <c r="B48" s="35" t="s">
        <v>36</v>
      </c>
      <c r="C48" s="35" t="s">
        <v>549</v>
      </c>
      <c r="D48" s="35" t="s">
        <v>550</v>
      </c>
      <c r="E48" s="35">
        <v>1599.06</v>
      </c>
      <c r="F48" s="34">
        <v>42775</v>
      </c>
    </row>
    <row r="49" spans="1:6" ht="15.75" x14ac:dyDescent="0.25">
      <c r="A49" s="35">
        <v>538110</v>
      </c>
      <c r="B49" s="35" t="s">
        <v>210</v>
      </c>
      <c r="C49" s="35" t="s">
        <v>209</v>
      </c>
      <c r="D49" s="35">
        <v>2000002936</v>
      </c>
      <c r="E49" s="35">
        <v>-597.79999999999995</v>
      </c>
      <c r="F49" s="34">
        <v>42779</v>
      </c>
    </row>
    <row r="50" spans="1:6" ht="15.75" x14ac:dyDescent="0.25">
      <c r="A50" s="35">
        <v>538110</v>
      </c>
      <c r="B50" s="35" t="s">
        <v>210</v>
      </c>
      <c r="C50" s="35" t="s">
        <v>209</v>
      </c>
      <c r="D50" s="35">
        <v>2000002936</v>
      </c>
      <c r="E50" s="35">
        <v>-446.5</v>
      </c>
      <c r="F50" s="34">
        <v>42779</v>
      </c>
    </row>
    <row r="51" spans="1:6" ht="15.75" x14ac:dyDescent="0.25">
      <c r="A51" s="35">
        <v>538110</v>
      </c>
      <c r="B51" s="35" t="s">
        <v>210</v>
      </c>
      <c r="C51" s="35" t="s">
        <v>209</v>
      </c>
      <c r="D51" s="35">
        <v>2000002936</v>
      </c>
      <c r="E51" s="35">
        <v>-368</v>
      </c>
      <c r="F51" s="34">
        <v>42779</v>
      </c>
    </row>
    <row r="52" spans="1:6" ht="15.75" x14ac:dyDescent="0.25">
      <c r="A52" s="35">
        <v>538110</v>
      </c>
      <c r="B52" s="35" t="s">
        <v>210</v>
      </c>
      <c r="C52" s="35" t="s">
        <v>209</v>
      </c>
      <c r="D52" s="35">
        <v>2000002936</v>
      </c>
      <c r="E52" s="35">
        <v>-322.5</v>
      </c>
      <c r="F52" s="34">
        <v>42779</v>
      </c>
    </row>
    <row r="53" spans="1:6" ht="15.75" x14ac:dyDescent="0.25">
      <c r="A53" s="35">
        <v>538110</v>
      </c>
      <c r="B53" s="35" t="s">
        <v>210</v>
      </c>
      <c r="C53" s="35" t="s">
        <v>209</v>
      </c>
      <c r="D53" s="35">
        <v>2000002936</v>
      </c>
      <c r="E53" s="35">
        <v>-252</v>
      </c>
      <c r="F53" s="34">
        <v>42779</v>
      </c>
    </row>
    <row r="54" spans="1:6" ht="15.75" x14ac:dyDescent="0.25">
      <c r="A54" s="35">
        <v>527410</v>
      </c>
      <c r="B54" s="35" t="s">
        <v>551</v>
      </c>
      <c r="C54" s="35" t="s">
        <v>209</v>
      </c>
      <c r="D54" s="35">
        <v>2000002936</v>
      </c>
      <c r="E54" s="35">
        <v>-149.86000000000001</v>
      </c>
      <c r="F54" s="34">
        <v>42779</v>
      </c>
    </row>
    <row r="55" spans="1:6" ht="15.75" x14ac:dyDescent="0.25">
      <c r="A55" s="35">
        <v>558914</v>
      </c>
      <c r="B55" s="35" t="s">
        <v>552</v>
      </c>
      <c r="C55" s="35" t="s">
        <v>209</v>
      </c>
      <c r="D55" s="35">
        <v>2000002936</v>
      </c>
      <c r="E55" s="35">
        <v>-50</v>
      </c>
      <c r="F55" s="34">
        <v>42779</v>
      </c>
    </row>
    <row r="56" spans="1:6" ht="15.75" x14ac:dyDescent="0.25">
      <c r="A56" s="35">
        <v>558914</v>
      </c>
      <c r="B56" s="35" t="s">
        <v>552</v>
      </c>
      <c r="C56" s="35" t="s">
        <v>209</v>
      </c>
      <c r="D56" s="35">
        <v>2000002936</v>
      </c>
      <c r="E56" s="35">
        <v>-40</v>
      </c>
      <c r="F56" s="34">
        <v>42779</v>
      </c>
    </row>
    <row r="57" spans="1:6" ht="15.75" x14ac:dyDescent="0.25">
      <c r="A57" s="35">
        <v>558914</v>
      </c>
      <c r="B57" s="35" t="s">
        <v>552</v>
      </c>
      <c r="C57" s="35" t="s">
        <v>209</v>
      </c>
      <c r="D57" s="35">
        <v>2000002936</v>
      </c>
      <c r="E57" s="35">
        <v>-30</v>
      </c>
      <c r="F57" s="34">
        <v>42779</v>
      </c>
    </row>
    <row r="58" spans="1:6" ht="15.75" x14ac:dyDescent="0.25">
      <c r="A58" s="35">
        <v>527410</v>
      </c>
      <c r="B58" s="35" t="s">
        <v>551</v>
      </c>
      <c r="C58" s="35" t="s">
        <v>209</v>
      </c>
      <c r="D58" s="35">
        <v>2000002936</v>
      </c>
      <c r="E58" s="35">
        <v>149.86000000000001</v>
      </c>
      <c r="F58" s="34">
        <v>42779</v>
      </c>
    </row>
    <row r="59" spans="1:6" ht="15.75" x14ac:dyDescent="0.25">
      <c r="A59" s="35">
        <v>487110</v>
      </c>
      <c r="B59" s="35" t="s">
        <v>36</v>
      </c>
      <c r="C59" s="35" t="s">
        <v>553</v>
      </c>
      <c r="D59" s="35" t="s">
        <v>554</v>
      </c>
      <c r="E59" s="35">
        <v>2495.12</v>
      </c>
      <c r="F59" s="34">
        <v>42779</v>
      </c>
    </row>
    <row r="60" spans="1:6" ht="15.75" x14ac:dyDescent="0.25">
      <c r="A60" s="35">
        <v>487110</v>
      </c>
      <c r="B60" s="35" t="s">
        <v>36</v>
      </c>
      <c r="C60" s="35" t="s">
        <v>555</v>
      </c>
      <c r="D60" s="35" t="s">
        <v>556</v>
      </c>
      <c r="E60" s="35">
        <v>5191.76</v>
      </c>
      <c r="F60" s="34">
        <v>42779</v>
      </c>
    </row>
    <row r="61" spans="1:6" ht="15.75" x14ac:dyDescent="0.25">
      <c r="A61" s="35">
        <v>487110</v>
      </c>
      <c r="B61" s="35" t="s">
        <v>36</v>
      </c>
      <c r="C61" s="35" t="s">
        <v>557</v>
      </c>
      <c r="D61" s="35" t="s">
        <v>558</v>
      </c>
      <c r="E61" s="35">
        <v>1029.75</v>
      </c>
      <c r="F61" s="34">
        <v>42780</v>
      </c>
    </row>
    <row r="62" spans="1:6" ht="15.75" x14ac:dyDescent="0.25">
      <c r="A62" s="35">
        <v>487110</v>
      </c>
      <c r="B62" s="35" t="s">
        <v>36</v>
      </c>
      <c r="C62" s="35" t="s">
        <v>559</v>
      </c>
      <c r="D62" s="35" t="s">
        <v>560</v>
      </c>
      <c r="E62" s="35">
        <v>5527.94</v>
      </c>
      <c r="F62" s="34">
        <v>42780</v>
      </c>
    </row>
    <row r="63" spans="1:6" ht="15.75" x14ac:dyDescent="0.25">
      <c r="A63" s="35">
        <v>487110</v>
      </c>
      <c r="B63" s="35" t="s">
        <v>36</v>
      </c>
      <c r="C63" s="35" t="s">
        <v>561</v>
      </c>
      <c r="D63" s="35" t="s">
        <v>562</v>
      </c>
      <c r="E63" s="35">
        <v>2492</v>
      </c>
      <c r="F63" s="34">
        <v>42781</v>
      </c>
    </row>
    <row r="64" spans="1:6" ht="15.75" x14ac:dyDescent="0.25">
      <c r="A64" s="35">
        <v>526712</v>
      </c>
      <c r="B64" s="35" t="s">
        <v>14</v>
      </c>
      <c r="C64" s="35" t="s">
        <v>190</v>
      </c>
      <c r="D64" s="35" t="s">
        <v>563</v>
      </c>
      <c r="E64" s="35">
        <v>96.3</v>
      </c>
      <c r="F64" s="34">
        <v>42782</v>
      </c>
    </row>
    <row r="65" spans="1:6" ht="15.75" x14ac:dyDescent="0.25">
      <c r="A65" s="35">
        <v>487110</v>
      </c>
      <c r="B65" s="35" t="s">
        <v>36</v>
      </c>
      <c r="C65" s="35" t="s">
        <v>564</v>
      </c>
      <c r="D65" s="35" t="s">
        <v>565</v>
      </c>
      <c r="E65" s="35">
        <v>3432</v>
      </c>
      <c r="F65" s="34">
        <v>42783</v>
      </c>
    </row>
    <row r="66" spans="1:6" ht="15.75" x14ac:dyDescent="0.25">
      <c r="A66" s="35">
        <v>487110</v>
      </c>
      <c r="B66" s="35" t="s">
        <v>36</v>
      </c>
      <c r="C66" s="35" t="s">
        <v>566</v>
      </c>
      <c r="D66" s="35" t="s">
        <v>567</v>
      </c>
      <c r="E66" s="35">
        <v>13716.26</v>
      </c>
      <c r="F66" s="34">
        <v>42786</v>
      </c>
    </row>
    <row r="67" spans="1:6" ht="15.75" x14ac:dyDescent="0.25">
      <c r="A67" s="35">
        <v>487110</v>
      </c>
      <c r="B67" s="35" t="s">
        <v>36</v>
      </c>
      <c r="C67" s="35" t="s">
        <v>568</v>
      </c>
      <c r="D67" s="35" t="s">
        <v>569</v>
      </c>
      <c r="E67" s="35">
        <v>11862.12</v>
      </c>
      <c r="F67" s="34">
        <v>42787</v>
      </c>
    </row>
    <row r="68" spans="1:6" ht="15.75" x14ac:dyDescent="0.25">
      <c r="A68" s="35">
        <v>487110</v>
      </c>
      <c r="B68" s="35" t="s">
        <v>36</v>
      </c>
      <c r="C68" s="35" t="s">
        <v>570</v>
      </c>
      <c r="D68" s="35" t="s">
        <v>571</v>
      </c>
      <c r="E68" s="35">
        <v>2217.16</v>
      </c>
      <c r="F68" s="34">
        <v>42790</v>
      </c>
    </row>
    <row r="69" spans="1:6" ht="15.75" x14ac:dyDescent="0.25">
      <c r="A69" s="35">
        <v>487110</v>
      </c>
      <c r="B69" s="35" t="s">
        <v>36</v>
      </c>
      <c r="C69" s="35" t="s">
        <v>572</v>
      </c>
      <c r="D69" s="35" t="s">
        <v>573</v>
      </c>
      <c r="E69" s="35">
        <v>7851.02</v>
      </c>
      <c r="F69" s="34">
        <v>42793</v>
      </c>
    </row>
    <row r="70" spans="1:6" ht="15.75" x14ac:dyDescent="0.25">
      <c r="A70" s="35">
        <v>527120</v>
      </c>
      <c r="B70" s="35" t="s">
        <v>143</v>
      </c>
      <c r="C70" s="35" t="s">
        <v>144</v>
      </c>
      <c r="D70" s="35" t="s">
        <v>574</v>
      </c>
      <c r="E70" s="35">
        <v>14.5</v>
      </c>
      <c r="F70" s="34">
        <v>42794</v>
      </c>
    </row>
    <row r="71" spans="1:6" ht="15.75" x14ac:dyDescent="0.25">
      <c r="A71" s="35">
        <v>515130</v>
      </c>
      <c r="B71" s="35" t="s">
        <v>10</v>
      </c>
      <c r="C71" s="35" t="s">
        <v>165</v>
      </c>
      <c r="D71" s="35" t="s">
        <v>575</v>
      </c>
      <c r="E71" s="35">
        <v>101.17</v>
      </c>
      <c r="F71" s="34">
        <v>42794</v>
      </c>
    </row>
    <row r="72" spans="1:6" ht="15.75" x14ac:dyDescent="0.25">
      <c r="A72" s="35">
        <v>511120</v>
      </c>
      <c r="B72" s="35" t="s">
        <v>6</v>
      </c>
      <c r="C72" s="35" t="s">
        <v>165</v>
      </c>
      <c r="D72" s="35" t="s">
        <v>575</v>
      </c>
      <c r="E72" s="35">
        <v>215.92</v>
      </c>
      <c r="F72" s="34">
        <v>42794</v>
      </c>
    </row>
    <row r="73" spans="1:6" ht="15.75" x14ac:dyDescent="0.25">
      <c r="A73" s="35">
        <v>515530</v>
      </c>
      <c r="B73" s="35" t="s">
        <v>13</v>
      </c>
      <c r="C73" s="35" t="s">
        <v>165</v>
      </c>
      <c r="D73" s="35" t="s">
        <v>575</v>
      </c>
      <c r="E73" s="35">
        <v>295.02999999999997</v>
      </c>
      <c r="F73" s="34">
        <v>42794</v>
      </c>
    </row>
    <row r="74" spans="1:6" ht="15.75" x14ac:dyDescent="0.25">
      <c r="A74" s="35">
        <v>515420</v>
      </c>
      <c r="B74" s="35" t="s">
        <v>12</v>
      </c>
      <c r="C74" s="35" t="s">
        <v>165</v>
      </c>
      <c r="D74" s="35" t="s">
        <v>575</v>
      </c>
      <c r="E74" s="35">
        <v>314.72000000000003</v>
      </c>
      <c r="F74" s="34">
        <v>42794</v>
      </c>
    </row>
    <row r="75" spans="1:6" ht="15.75" x14ac:dyDescent="0.25">
      <c r="A75" s="35">
        <v>515410</v>
      </c>
      <c r="B75" s="35" t="s">
        <v>11</v>
      </c>
      <c r="C75" s="35" t="s">
        <v>165</v>
      </c>
      <c r="D75" s="35" t="s">
        <v>575</v>
      </c>
      <c r="E75" s="35">
        <v>336.35</v>
      </c>
      <c r="F75" s="34">
        <v>42794</v>
      </c>
    </row>
    <row r="76" spans="1:6" ht="15.75" x14ac:dyDescent="0.25">
      <c r="A76" s="35">
        <v>515120</v>
      </c>
      <c r="B76" s="35" t="s">
        <v>9</v>
      </c>
      <c r="C76" s="35" t="s">
        <v>165</v>
      </c>
      <c r="D76" s="35" t="s">
        <v>575</v>
      </c>
      <c r="E76" s="35">
        <v>432.6</v>
      </c>
      <c r="F76" s="34">
        <v>42794</v>
      </c>
    </row>
    <row r="77" spans="1:6" ht="15.75" x14ac:dyDescent="0.25">
      <c r="A77" s="35">
        <v>511120</v>
      </c>
      <c r="B77" s="35" t="s">
        <v>6</v>
      </c>
      <c r="C77" s="35" t="s">
        <v>165</v>
      </c>
      <c r="D77" s="35" t="s">
        <v>575</v>
      </c>
      <c r="E77" s="35">
        <v>6916.64</v>
      </c>
      <c r="F77" s="34">
        <v>42794</v>
      </c>
    </row>
  </sheetData>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BB2ED-C83C-4BF9-B853-723F1427DDAC}">
  <dimension ref="A1:F35"/>
  <sheetViews>
    <sheetView workbookViewId="0">
      <selection activeCell="C33" sqref="C33"/>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587890</v>
      </c>
      <c r="B2" s="35" t="s">
        <v>32</v>
      </c>
      <c r="C2" s="35" t="s">
        <v>462</v>
      </c>
      <c r="D2" s="35" t="s">
        <v>463</v>
      </c>
      <c r="E2" s="35">
        <v>619</v>
      </c>
      <c r="F2" s="34">
        <v>42740</v>
      </c>
    </row>
    <row r="3" spans="1:6" ht="15.75" x14ac:dyDescent="0.25">
      <c r="A3" s="35">
        <v>587890</v>
      </c>
      <c r="B3" s="35" t="s">
        <v>32</v>
      </c>
      <c r="C3" s="35" t="s">
        <v>464</v>
      </c>
      <c r="D3" s="35" t="s">
        <v>465</v>
      </c>
      <c r="E3" s="35">
        <v>650</v>
      </c>
      <c r="F3" s="34">
        <v>42740</v>
      </c>
    </row>
    <row r="4" spans="1:6" ht="15.75" x14ac:dyDescent="0.25">
      <c r="A4" s="35">
        <v>587890</v>
      </c>
      <c r="B4" s="35" t="s">
        <v>32</v>
      </c>
      <c r="C4" s="35" t="s">
        <v>144</v>
      </c>
      <c r="D4" s="35" t="s">
        <v>466</v>
      </c>
      <c r="E4" s="35">
        <v>1000</v>
      </c>
      <c r="F4" s="34">
        <v>42740</v>
      </c>
    </row>
    <row r="5" spans="1:6" ht="15.75" x14ac:dyDescent="0.25">
      <c r="A5" s="35">
        <v>587890</v>
      </c>
      <c r="B5" s="35" t="s">
        <v>32</v>
      </c>
      <c r="C5" s="35" t="s">
        <v>464</v>
      </c>
      <c r="D5" s="35" t="s">
        <v>467</v>
      </c>
      <c r="E5" s="35">
        <v>2500</v>
      </c>
      <c r="F5" s="34">
        <v>42740</v>
      </c>
    </row>
    <row r="6" spans="1:6" ht="15.75" x14ac:dyDescent="0.25">
      <c r="A6" s="35">
        <v>558979</v>
      </c>
      <c r="B6" s="35" t="s">
        <v>150</v>
      </c>
      <c r="C6" s="35" t="s">
        <v>317</v>
      </c>
      <c r="D6" s="35" t="s">
        <v>468</v>
      </c>
      <c r="E6" s="35">
        <v>125</v>
      </c>
      <c r="F6" s="34">
        <v>42746</v>
      </c>
    </row>
    <row r="7" spans="1:6" ht="15.75" x14ac:dyDescent="0.25">
      <c r="A7" s="35">
        <v>558979</v>
      </c>
      <c r="B7" s="35" t="s">
        <v>150</v>
      </c>
      <c r="C7" s="35" t="s">
        <v>386</v>
      </c>
      <c r="D7" s="35" t="s">
        <v>469</v>
      </c>
      <c r="E7" s="35">
        <v>125</v>
      </c>
      <c r="F7" s="34">
        <v>42746</v>
      </c>
    </row>
    <row r="8" spans="1:6" ht="15.75" x14ac:dyDescent="0.25">
      <c r="A8" s="35">
        <v>558979</v>
      </c>
      <c r="B8" s="35" t="s">
        <v>150</v>
      </c>
      <c r="C8" s="35" t="s">
        <v>327</v>
      </c>
      <c r="D8" s="35" t="s">
        <v>470</v>
      </c>
      <c r="E8" s="35">
        <v>125</v>
      </c>
      <c r="F8" s="34">
        <v>42746</v>
      </c>
    </row>
    <row r="9" spans="1:6" ht="15.75" x14ac:dyDescent="0.25">
      <c r="A9" s="35">
        <v>558979</v>
      </c>
      <c r="B9" s="35" t="s">
        <v>150</v>
      </c>
      <c r="C9" s="35" t="s">
        <v>323</v>
      </c>
      <c r="D9" s="35" t="s">
        <v>471</v>
      </c>
      <c r="E9" s="35">
        <v>125</v>
      </c>
      <c r="F9" s="34">
        <v>42746</v>
      </c>
    </row>
    <row r="10" spans="1:6" ht="15.75" x14ac:dyDescent="0.25">
      <c r="A10" s="35">
        <v>558979</v>
      </c>
      <c r="B10" s="35" t="s">
        <v>150</v>
      </c>
      <c r="C10" s="35" t="s">
        <v>307</v>
      </c>
      <c r="D10" s="35" t="s">
        <v>472</v>
      </c>
      <c r="E10" s="35">
        <v>125</v>
      </c>
      <c r="F10" s="34">
        <v>42746</v>
      </c>
    </row>
    <row r="11" spans="1:6" ht="15.75" x14ac:dyDescent="0.25">
      <c r="A11" s="35">
        <v>558979</v>
      </c>
      <c r="B11" s="35" t="s">
        <v>150</v>
      </c>
      <c r="C11" s="35" t="s">
        <v>319</v>
      </c>
      <c r="D11" s="35" t="s">
        <v>473</v>
      </c>
      <c r="E11" s="35">
        <v>125</v>
      </c>
      <c r="F11" s="34">
        <v>42746</v>
      </c>
    </row>
    <row r="12" spans="1:6" ht="15.75" x14ac:dyDescent="0.25">
      <c r="A12" s="35">
        <v>558979</v>
      </c>
      <c r="B12" s="35" t="s">
        <v>150</v>
      </c>
      <c r="C12" s="35" t="s">
        <v>315</v>
      </c>
      <c r="D12" s="35" t="s">
        <v>474</v>
      </c>
      <c r="E12" s="35">
        <v>125</v>
      </c>
      <c r="F12" s="34">
        <v>42746</v>
      </c>
    </row>
    <row r="13" spans="1:6" ht="15.75" x14ac:dyDescent="0.25">
      <c r="A13" s="35">
        <v>558979</v>
      </c>
      <c r="B13" s="35" t="s">
        <v>150</v>
      </c>
      <c r="C13" s="35" t="s">
        <v>311</v>
      </c>
      <c r="D13" s="35" t="s">
        <v>475</v>
      </c>
      <c r="E13" s="35">
        <v>125</v>
      </c>
      <c r="F13" s="34">
        <v>42746</v>
      </c>
    </row>
    <row r="14" spans="1:6" ht="15.75" x14ac:dyDescent="0.25">
      <c r="A14" s="35">
        <v>558979</v>
      </c>
      <c r="B14" s="35" t="s">
        <v>150</v>
      </c>
      <c r="C14" s="35" t="s">
        <v>151</v>
      </c>
      <c r="D14" s="35" t="s">
        <v>476</v>
      </c>
      <c r="E14" s="35">
        <v>125</v>
      </c>
      <c r="F14" s="34">
        <v>42746</v>
      </c>
    </row>
    <row r="15" spans="1:6" ht="15.75" x14ac:dyDescent="0.25">
      <c r="A15" s="35">
        <v>558979</v>
      </c>
      <c r="B15" s="35" t="s">
        <v>150</v>
      </c>
      <c r="C15" s="35" t="s">
        <v>321</v>
      </c>
      <c r="D15" s="35" t="s">
        <v>477</v>
      </c>
      <c r="E15" s="35">
        <v>125</v>
      </c>
      <c r="F15" s="34">
        <v>42746</v>
      </c>
    </row>
    <row r="16" spans="1:6" ht="15.75" x14ac:dyDescent="0.25">
      <c r="A16" s="35">
        <v>558979</v>
      </c>
      <c r="B16" s="35" t="s">
        <v>150</v>
      </c>
      <c r="C16" s="35" t="s">
        <v>325</v>
      </c>
      <c r="D16" s="35" t="s">
        <v>478</v>
      </c>
      <c r="E16" s="35">
        <v>125</v>
      </c>
      <c r="F16" s="34">
        <v>42746</v>
      </c>
    </row>
    <row r="17" spans="1:6" ht="15.75" x14ac:dyDescent="0.25">
      <c r="A17" s="35">
        <v>558979</v>
      </c>
      <c r="B17" s="35" t="s">
        <v>150</v>
      </c>
      <c r="C17" s="35" t="s">
        <v>309</v>
      </c>
      <c r="D17" s="35" t="s">
        <v>479</v>
      </c>
      <c r="E17" s="35">
        <v>125</v>
      </c>
      <c r="F17" s="34">
        <v>42746</v>
      </c>
    </row>
    <row r="18" spans="1:6" ht="15.75" x14ac:dyDescent="0.25">
      <c r="A18" s="35">
        <v>558979</v>
      </c>
      <c r="B18" s="35" t="s">
        <v>150</v>
      </c>
      <c r="C18" s="35" t="s">
        <v>184</v>
      </c>
      <c r="D18" s="35" t="s">
        <v>480</v>
      </c>
      <c r="E18" s="35">
        <v>200</v>
      </c>
      <c r="F18" s="34">
        <v>42746</v>
      </c>
    </row>
    <row r="19" spans="1:6" ht="15.75" x14ac:dyDescent="0.25">
      <c r="A19" s="35">
        <v>558979</v>
      </c>
      <c r="B19" s="35" t="s">
        <v>150</v>
      </c>
      <c r="C19" s="35" t="s">
        <v>186</v>
      </c>
      <c r="D19" s="35" t="s">
        <v>481</v>
      </c>
      <c r="E19" s="35">
        <v>200</v>
      </c>
      <c r="F19" s="34">
        <v>42746</v>
      </c>
    </row>
    <row r="20" spans="1:6" ht="15.75" x14ac:dyDescent="0.25">
      <c r="A20" s="35">
        <v>558979</v>
      </c>
      <c r="B20" s="35" t="s">
        <v>150</v>
      </c>
      <c r="C20" s="35" t="s">
        <v>182</v>
      </c>
      <c r="D20" s="35" t="s">
        <v>482</v>
      </c>
      <c r="E20" s="35">
        <v>200</v>
      </c>
      <c r="F20" s="34">
        <v>42746</v>
      </c>
    </row>
    <row r="21" spans="1:6" ht="15.75" x14ac:dyDescent="0.25">
      <c r="A21" s="35">
        <v>558979</v>
      </c>
      <c r="B21" s="35" t="s">
        <v>150</v>
      </c>
      <c r="C21" s="35" t="s">
        <v>232</v>
      </c>
      <c r="D21" s="35" t="s">
        <v>483</v>
      </c>
      <c r="E21" s="35">
        <v>200</v>
      </c>
      <c r="F21" s="34">
        <v>42746</v>
      </c>
    </row>
    <row r="22" spans="1:6" ht="15.75" x14ac:dyDescent="0.25">
      <c r="A22" s="35">
        <v>558979</v>
      </c>
      <c r="B22" s="35" t="s">
        <v>150</v>
      </c>
      <c r="C22" s="35" t="s">
        <v>188</v>
      </c>
      <c r="D22" s="35" t="s">
        <v>484</v>
      </c>
      <c r="E22" s="35">
        <v>225</v>
      </c>
      <c r="F22" s="34">
        <v>42746</v>
      </c>
    </row>
    <row r="23" spans="1:6" ht="15.75" x14ac:dyDescent="0.25">
      <c r="A23" s="35">
        <v>558979</v>
      </c>
      <c r="B23" s="35" t="s">
        <v>150</v>
      </c>
      <c r="C23" s="35" t="s">
        <v>190</v>
      </c>
      <c r="D23" s="35" t="s">
        <v>485</v>
      </c>
      <c r="E23" s="35">
        <v>400</v>
      </c>
      <c r="F23" s="34">
        <v>42746</v>
      </c>
    </row>
    <row r="24" spans="1:6" ht="15.75" x14ac:dyDescent="0.25">
      <c r="A24" s="35">
        <v>558979</v>
      </c>
      <c r="B24" s="35" t="s">
        <v>150</v>
      </c>
      <c r="C24" s="35" t="s">
        <v>163</v>
      </c>
      <c r="D24" s="35" t="s">
        <v>486</v>
      </c>
      <c r="E24" s="35">
        <v>650</v>
      </c>
      <c r="F24" s="34">
        <v>42746</v>
      </c>
    </row>
    <row r="25" spans="1:6" ht="15.75" x14ac:dyDescent="0.25">
      <c r="A25" s="35">
        <v>587890</v>
      </c>
      <c r="B25" s="35" t="s">
        <v>32</v>
      </c>
      <c r="C25" s="35" t="s">
        <v>487</v>
      </c>
      <c r="D25" s="35" t="s">
        <v>488</v>
      </c>
      <c r="E25" s="35">
        <v>-36.86</v>
      </c>
      <c r="F25" s="34">
        <v>42754</v>
      </c>
    </row>
    <row r="26" spans="1:6" ht="15.75" x14ac:dyDescent="0.25">
      <c r="A26" s="35">
        <v>587890</v>
      </c>
      <c r="B26" s="35" t="s">
        <v>32</v>
      </c>
      <c r="C26" s="35" t="s">
        <v>144</v>
      </c>
      <c r="D26" s="35" t="s">
        <v>489</v>
      </c>
      <c r="E26" s="35">
        <v>1000</v>
      </c>
      <c r="F26" s="34">
        <v>42760</v>
      </c>
    </row>
    <row r="27" spans="1:6" ht="15.75" x14ac:dyDescent="0.25">
      <c r="A27" s="35">
        <v>515130</v>
      </c>
      <c r="B27" s="35" t="s">
        <v>10</v>
      </c>
      <c r="C27" s="35" t="s">
        <v>165</v>
      </c>
      <c r="D27" s="35" t="s">
        <v>490</v>
      </c>
      <c r="E27" s="35">
        <v>96.64</v>
      </c>
      <c r="F27" s="34">
        <v>42766</v>
      </c>
    </row>
    <row r="28" spans="1:6" ht="15.75" x14ac:dyDescent="0.25">
      <c r="A28" s="35">
        <v>515120</v>
      </c>
      <c r="B28" s="35" t="s">
        <v>9</v>
      </c>
      <c r="C28" s="35" t="s">
        <v>165</v>
      </c>
      <c r="D28" s="35" t="s">
        <v>490</v>
      </c>
      <c r="E28" s="35">
        <v>413.23</v>
      </c>
      <c r="F28" s="34">
        <v>42766</v>
      </c>
    </row>
    <row r="29" spans="1:6" ht="15.75" x14ac:dyDescent="0.25">
      <c r="A29" s="35">
        <v>515420</v>
      </c>
      <c r="B29" s="35" t="s">
        <v>12</v>
      </c>
      <c r="C29" s="35" t="s">
        <v>165</v>
      </c>
      <c r="D29" s="35" t="s">
        <v>490</v>
      </c>
      <c r="E29" s="35">
        <v>442.67</v>
      </c>
      <c r="F29" s="34">
        <v>42766</v>
      </c>
    </row>
    <row r="30" spans="1:6" ht="15.75" x14ac:dyDescent="0.25">
      <c r="A30" s="35">
        <v>515410</v>
      </c>
      <c r="B30" s="35" t="s">
        <v>11</v>
      </c>
      <c r="C30" s="35" t="s">
        <v>165</v>
      </c>
      <c r="D30" s="35" t="s">
        <v>490</v>
      </c>
      <c r="E30" s="35">
        <v>473.1</v>
      </c>
      <c r="F30" s="34">
        <v>42766</v>
      </c>
    </row>
    <row r="31" spans="1:6" ht="15.75" x14ac:dyDescent="0.25">
      <c r="A31" s="35">
        <v>515530</v>
      </c>
      <c r="B31" s="35" t="s">
        <v>13</v>
      </c>
      <c r="C31" s="35" t="s">
        <v>165</v>
      </c>
      <c r="D31" s="35" t="s">
        <v>490</v>
      </c>
      <c r="E31" s="35">
        <v>479.48</v>
      </c>
      <c r="F31" s="34">
        <v>42766</v>
      </c>
    </row>
    <row r="32" spans="1:6" ht="15.75" x14ac:dyDescent="0.25">
      <c r="A32" s="35">
        <v>487110</v>
      </c>
      <c r="B32" s="35" t="s">
        <v>36</v>
      </c>
      <c r="C32" s="35" t="s">
        <v>491</v>
      </c>
      <c r="D32" s="35" t="s">
        <v>492</v>
      </c>
      <c r="E32" s="35">
        <v>1256.92</v>
      </c>
      <c r="F32" s="34">
        <v>42766</v>
      </c>
    </row>
    <row r="33" spans="1:6" ht="15.75" x14ac:dyDescent="0.25">
      <c r="A33" s="35">
        <v>487110</v>
      </c>
      <c r="B33" s="35" t="s">
        <v>36</v>
      </c>
      <c r="C33" s="35" t="s">
        <v>493</v>
      </c>
      <c r="D33" s="35" t="s">
        <v>494</v>
      </c>
      <c r="E33" s="35">
        <v>4365.2700000000004</v>
      </c>
      <c r="F33" s="34">
        <v>42766</v>
      </c>
    </row>
    <row r="34" spans="1:6" ht="15.75" x14ac:dyDescent="0.25">
      <c r="A34" s="35">
        <v>511120</v>
      </c>
      <c r="B34" s="35" t="s">
        <v>6</v>
      </c>
      <c r="C34" s="35" t="s">
        <v>165</v>
      </c>
      <c r="D34" s="35" t="s">
        <v>490</v>
      </c>
      <c r="E34" s="35">
        <v>6916.67</v>
      </c>
      <c r="F34" s="34">
        <v>42766</v>
      </c>
    </row>
    <row r="35" spans="1:6" ht="15.75" x14ac:dyDescent="0.25">
      <c r="A35" s="35">
        <v>487110</v>
      </c>
      <c r="B35" s="35" t="s">
        <v>36</v>
      </c>
      <c r="C35" s="35" t="s">
        <v>495</v>
      </c>
      <c r="D35" s="35" t="s">
        <v>492</v>
      </c>
      <c r="E35" s="35">
        <v>10744.45</v>
      </c>
      <c r="F35" s="34">
        <v>42766</v>
      </c>
    </row>
  </sheetData>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A4044-FD56-43D5-B5F2-0F262A41DBA5}">
  <dimension ref="A1:F51"/>
  <sheetViews>
    <sheetView workbookViewId="0">
      <selection sqref="A1:F51"/>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558979</v>
      </c>
      <c r="B2" s="35" t="s">
        <v>150</v>
      </c>
      <c r="C2" s="35" t="s">
        <v>386</v>
      </c>
      <c r="D2" s="35" t="s">
        <v>420</v>
      </c>
      <c r="E2" s="35">
        <v>125</v>
      </c>
      <c r="F2" s="34">
        <v>42711</v>
      </c>
    </row>
    <row r="3" spans="1:6" ht="15.75" x14ac:dyDescent="0.25">
      <c r="A3" s="35">
        <v>558979</v>
      </c>
      <c r="B3" s="35" t="s">
        <v>150</v>
      </c>
      <c r="C3" s="35" t="s">
        <v>317</v>
      </c>
      <c r="D3" s="35" t="s">
        <v>421</v>
      </c>
      <c r="E3" s="35">
        <v>125</v>
      </c>
      <c r="F3" s="34">
        <v>42711</v>
      </c>
    </row>
    <row r="4" spans="1:6" ht="15.75" x14ac:dyDescent="0.25">
      <c r="A4" s="35">
        <v>558979</v>
      </c>
      <c r="B4" s="35" t="s">
        <v>150</v>
      </c>
      <c r="C4" s="35" t="s">
        <v>311</v>
      </c>
      <c r="D4" s="35" t="s">
        <v>422</v>
      </c>
      <c r="E4" s="35">
        <v>125</v>
      </c>
      <c r="F4" s="34">
        <v>42711</v>
      </c>
    </row>
    <row r="5" spans="1:6" ht="15.75" x14ac:dyDescent="0.25">
      <c r="A5" s="35">
        <v>558979</v>
      </c>
      <c r="B5" s="35" t="s">
        <v>150</v>
      </c>
      <c r="C5" s="35" t="s">
        <v>315</v>
      </c>
      <c r="D5" s="35" t="s">
        <v>423</v>
      </c>
      <c r="E5" s="35">
        <v>125</v>
      </c>
      <c r="F5" s="34">
        <v>42711</v>
      </c>
    </row>
    <row r="6" spans="1:6" ht="15.75" x14ac:dyDescent="0.25">
      <c r="A6" s="35">
        <v>558979</v>
      </c>
      <c r="B6" s="35" t="s">
        <v>150</v>
      </c>
      <c r="C6" s="35" t="s">
        <v>309</v>
      </c>
      <c r="D6" s="35" t="s">
        <v>424</v>
      </c>
      <c r="E6" s="35">
        <v>125</v>
      </c>
      <c r="F6" s="34">
        <v>42711</v>
      </c>
    </row>
    <row r="7" spans="1:6" ht="15.75" x14ac:dyDescent="0.25">
      <c r="A7" s="35">
        <v>558979</v>
      </c>
      <c r="B7" s="35" t="s">
        <v>150</v>
      </c>
      <c r="C7" s="35" t="s">
        <v>319</v>
      </c>
      <c r="D7" s="35" t="s">
        <v>425</v>
      </c>
      <c r="E7" s="35">
        <v>125</v>
      </c>
      <c r="F7" s="34">
        <v>42711</v>
      </c>
    </row>
    <row r="8" spans="1:6" ht="15.75" x14ac:dyDescent="0.25">
      <c r="A8" s="35">
        <v>558979</v>
      </c>
      <c r="B8" s="35" t="s">
        <v>150</v>
      </c>
      <c r="C8" s="35" t="s">
        <v>323</v>
      </c>
      <c r="D8" s="35" t="s">
        <v>426</v>
      </c>
      <c r="E8" s="35">
        <v>125</v>
      </c>
      <c r="F8" s="34">
        <v>42711</v>
      </c>
    </row>
    <row r="9" spans="1:6" ht="15.75" x14ac:dyDescent="0.25">
      <c r="A9" s="35">
        <v>558979</v>
      </c>
      <c r="B9" s="35" t="s">
        <v>150</v>
      </c>
      <c r="C9" s="35" t="s">
        <v>327</v>
      </c>
      <c r="D9" s="35" t="s">
        <v>427</v>
      </c>
      <c r="E9" s="35">
        <v>125</v>
      </c>
      <c r="F9" s="34">
        <v>42711</v>
      </c>
    </row>
    <row r="10" spans="1:6" ht="15.75" x14ac:dyDescent="0.25">
      <c r="A10" s="35">
        <v>558979</v>
      </c>
      <c r="B10" s="35" t="s">
        <v>150</v>
      </c>
      <c r="C10" s="35" t="s">
        <v>151</v>
      </c>
      <c r="D10" s="35" t="s">
        <v>428</v>
      </c>
      <c r="E10" s="35">
        <v>125</v>
      </c>
      <c r="F10" s="34">
        <v>42711</v>
      </c>
    </row>
    <row r="11" spans="1:6" ht="15.75" x14ac:dyDescent="0.25">
      <c r="A11" s="35">
        <v>558979</v>
      </c>
      <c r="B11" s="35" t="s">
        <v>150</v>
      </c>
      <c r="C11" s="35" t="s">
        <v>321</v>
      </c>
      <c r="D11" s="35" t="s">
        <v>429</v>
      </c>
      <c r="E11" s="35">
        <v>125</v>
      </c>
      <c r="F11" s="34">
        <v>42711</v>
      </c>
    </row>
    <row r="12" spans="1:6" ht="15.75" x14ac:dyDescent="0.25">
      <c r="A12" s="35">
        <v>558979</v>
      </c>
      <c r="B12" s="35" t="s">
        <v>150</v>
      </c>
      <c r="C12" s="35" t="s">
        <v>325</v>
      </c>
      <c r="D12" s="35" t="s">
        <v>430</v>
      </c>
      <c r="E12" s="35">
        <v>125</v>
      </c>
      <c r="F12" s="34">
        <v>42711</v>
      </c>
    </row>
    <row r="13" spans="1:6" ht="15.75" x14ac:dyDescent="0.25">
      <c r="A13" s="35">
        <v>558979</v>
      </c>
      <c r="B13" s="35" t="s">
        <v>150</v>
      </c>
      <c r="C13" s="35" t="s">
        <v>307</v>
      </c>
      <c r="D13" s="35" t="s">
        <v>431</v>
      </c>
      <c r="E13" s="35">
        <v>125</v>
      </c>
      <c r="F13" s="34">
        <v>42711</v>
      </c>
    </row>
    <row r="14" spans="1:6" ht="15.75" x14ac:dyDescent="0.25">
      <c r="A14" s="35">
        <v>558979</v>
      </c>
      <c r="B14" s="35" t="s">
        <v>150</v>
      </c>
      <c r="C14" s="35" t="s">
        <v>313</v>
      </c>
      <c r="D14" s="35" t="s">
        <v>432</v>
      </c>
      <c r="E14" s="35">
        <v>125</v>
      </c>
      <c r="F14" s="34">
        <v>42711</v>
      </c>
    </row>
    <row r="15" spans="1:6" ht="15.75" x14ac:dyDescent="0.25">
      <c r="A15" s="35">
        <v>558979</v>
      </c>
      <c r="B15" s="35" t="s">
        <v>150</v>
      </c>
      <c r="C15" s="35" t="s">
        <v>184</v>
      </c>
      <c r="D15" s="35" t="s">
        <v>433</v>
      </c>
      <c r="E15" s="35">
        <v>200</v>
      </c>
      <c r="F15" s="34">
        <v>42711</v>
      </c>
    </row>
    <row r="16" spans="1:6" ht="15.75" x14ac:dyDescent="0.25">
      <c r="A16" s="35">
        <v>558979</v>
      </c>
      <c r="B16" s="35" t="s">
        <v>150</v>
      </c>
      <c r="C16" s="35" t="s">
        <v>182</v>
      </c>
      <c r="D16" s="35" t="s">
        <v>434</v>
      </c>
      <c r="E16" s="35">
        <v>200</v>
      </c>
      <c r="F16" s="34">
        <v>42711</v>
      </c>
    </row>
    <row r="17" spans="1:6" ht="15.75" x14ac:dyDescent="0.25">
      <c r="A17" s="35">
        <v>558979</v>
      </c>
      <c r="B17" s="35" t="s">
        <v>150</v>
      </c>
      <c r="C17" s="35" t="s">
        <v>232</v>
      </c>
      <c r="D17" s="35" t="s">
        <v>435</v>
      </c>
      <c r="E17" s="35">
        <v>200</v>
      </c>
      <c r="F17" s="34">
        <v>42711</v>
      </c>
    </row>
    <row r="18" spans="1:6" ht="15.75" x14ac:dyDescent="0.25">
      <c r="A18" s="35">
        <v>558979</v>
      </c>
      <c r="B18" s="35" t="s">
        <v>150</v>
      </c>
      <c r="C18" s="35" t="s">
        <v>186</v>
      </c>
      <c r="D18" s="35" t="s">
        <v>436</v>
      </c>
      <c r="E18" s="35">
        <v>200</v>
      </c>
      <c r="F18" s="34">
        <v>42711</v>
      </c>
    </row>
    <row r="19" spans="1:6" ht="15.75" x14ac:dyDescent="0.25">
      <c r="A19" s="35">
        <v>558979</v>
      </c>
      <c r="B19" s="35" t="s">
        <v>150</v>
      </c>
      <c r="C19" s="35" t="s">
        <v>188</v>
      </c>
      <c r="D19" s="35" t="s">
        <v>437</v>
      </c>
      <c r="E19" s="35">
        <v>225</v>
      </c>
      <c r="F19" s="34">
        <v>42711</v>
      </c>
    </row>
    <row r="20" spans="1:6" ht="15.75" x14ac:dyDescent="0.25">
      <c r="A20" s="35">
        <v>558979</v>
      </c>
      <c r="B20" s="35" t="s">
        <v>150</v>
      </c>
      <c r="C20" s="35" t="s">
        <v>190</v>
      </c>
      <c r="D20" s="35" t="s">
        <v>438</v>
      </c>
      <c r="E20" s="35">
        <v>400</v>
      </c>
      <c r="F20" s="34">
        <v>42711</v>
      </c>
    </row>
    <row r="21" spans="1:6" ht="15.75" x14ac:dyDescent="0.25">
      <c r="A21" s="35">
        <v>558979</v>
      </c>
      <c r="B21" s="35" t="s">
        <v>150</v>
      </c>
      <c r="C21" s="35" t="s">
        <v>163</v>
      </c>
      <c r="D21" s="35" t="s">
        <v>439</v>
      </c>
      <c r="E21" s="35">
        <v>650</v>
      </c>
      <c r="F21" s="34">
        <v>42711</v>
      </c>
    </row>
    <row r="22" spans="1:6" ht="15.75" x14ac:dyDescent="0.25">
      <c r="A22" s="35">
        <v>531110</v>
      </c>
      <c r="B22" s="35" t="s">
        <v>27</v>
      </c>
      <c r="C22" s="35" t="s">
        <v>142</v>
      </c>
      <c r="D22" s="35">
        <v>2000002538</v>
      </c>
      <c r="E22" s="35">
        <v>0</v>
      </c>
      <c r="F22" s="34">
        <v>42712</v>
      </c>
    </row>
    <row r="23" spans="1:6" ht="15.75" x14ac:dyDescent="0.25">
      <c r="A23" s="35">
        <v>531110</v>
      </c>
      <c r="B23" s="35" t="s">
        <v>27</v>
      </c>
      <c r="C23" s="35" t="s">
        <v>142</v>
      </c>
      <c r="D23" s="35">
        <v>2000002537</v>
      </c>
      <c r="E23" s="35">
        <v>0</v>
      </c>
      <c r="F23" s="34">
        <v>42712</v>
      </c>
    </row>
    <row r="24" spans="1:6" ht="15.75" x14ac:dyDescent="0.25">
      <c r="A24" s="35">
        <v>531110</v>
      </c>
      <c r="B24" s="35" t="s">
        <v>27</v>
      </c>
      <c r="C24" s="35" t="s">
        <v>142</v>
      </c>
      <c r="D24" s="35">
        <v>2000002538</v>
      </c>
      <c r="E24" s="35">
        <v>29</v>
      </c>
      <c r="F24" s="34">
        <v>42712</v>
      </c>
    </row>
    <row r="25" spans="1:6" ht="15.75" x14ac:dyDescent="0.25">
      <c r="A25" s="35">
        <v>531110</v>
      </c>
      <c r="B25" s="35" t="s">
        <v>27</v>
      </c>
      <c r="C25" s="35" t="s">
        <v>142</v>
      </c>
      <c r="D25" s="35">
        <v>2000002537</v>
      </c>
      <c r="E25" s="35">
        <v>29</v>
      </c>
      <c r="F25" s="34">
        <v>42712</v>
      </c>
    </row>
    <row r="26" spans="1:6" ht="15.75" x14ac:dyDescent="0.25">
      <c r="A26" s="35">
        <v>531110</v>
      </c>
      <c r="B26" s="35" t="s">
        <v>27</v>
      </c>
      <c r="C26" s="35"/>
      <c r="D26" s="35">
        <v>1000002761</v>
      </c>
      <c r="E26" s="35">
        <v>0</v>
      </c>
      <c r="F26" s="34">
        <v>42713</v>
      </c>
    </row>
    <row r="27" spans="1:6" ht="15.75" x14ac:dyDescent="0.25">
      <c r="A27" s="35">
        <v>531110</v>
      </c>
      <c r="B27" s="35" t="s">
        <v>27</v>
      </c>
      <c r="C27" s="35"/>
      <c r="D27" s="35">
        <v>1000002760</v>
      </c>
      <c r="E27" s="35">
        <v>0</v>
      </c>
      <c r="F27" s="34">
        <v>42713</v>
      </c>
    </row>
    <row r="28" spans="1:6" ht="15.75" x14ac:dyDescent="0.25">
      <c r="A28" s="35">
        <v>531110</v>
      </c>
      <c r="B28" s="35" t="s">
        <v>27</v>
      </c>
      <c r="C28" s="35"/>
      <c r="D28" s="35">
        <v>1000002761</v>
      </c>
      <c r="E28" s="35">
        <v>29</v>
      </c>
      <c r="F28" s="34">
        <v>42713</v>
      </c>
    </row>
    <row r="29" spans="1:6" ht="15.75" x14ac:dyDescent="0.25">
      <c r="A29" s="35">
        <v>531110</v>
      </c>
      <c r="B29" s="35" t="s">
        <v>27</v>
      </c>
      <c r="C29" s="35"/>
      <c r="D29" s="35">
        <v>1000002760</v>
      </c>
      <c r="E29" s="35">
        <v>29</v>
      </c>
      <c r="F29" s="34">
        <v>42713</v>
      </c>
    </row>
    <row r="30" spans="1:6" ht="15.75" x14ac:dyDescent="0.25">
      <c r="A30" s="35">
        <v>558921</v>
      </c>
      <c r="B30" s="35" t="s">
        <v>262</v>
      </c>
      <c r="C30" s="35" t="s">
        <v>348</v>
      </c>
      <c r="D30" s="35" t="s">
        <v>440</v>
      </c>
      <c r="E30" s="35">
        <v>195</v>
      </c>
      <c r="F30" s="34">
        <v>42713</v>
      </c>
    </row>
    <row r="31" spans="1:6" ht="15.75" x14ac:dyDescent="0.25">
      <c r="A31" s="35">
        <v>587890</v>
      </c>
      <c r="B31" s="35" t="s">
        <v>32</v>
      </c>
      <c r="C31" s="35" t="s">
        <v>441</v>
      </c>
      <c r="D31" s="35" t="s">
        <v>442</v>
      </c>
      <c r="E31" s="35">
        <v>516.41</v>
      </c>
      <c r="F31" s="34">
        <v>42713</v>
      </c>
    </row>
    <row r="32" spans="1:6" ht="15.75" x14ac:dyDescent="0.25">
      <c r="A32" s="35">
        <v>587890</v>
      </c>
      <c r="B32" s="35" t="s">
        <v>32</v>
      </c>
      <c r="C32" s="35" t="s">
        <v>443</v>
      </c>
      <c r="D32" s="35" t="s">
        <v>444</v>
      </c>
      <c r="E32" s="35">
        <v>525</v>
      </c>
      <c r="F32" s="34">
        <v>42713</v>
      </c>
    </row>
    <row r="33" spans="1:6" ht="15.75" x14ac:dyDescent="0.25">
      <c r="A33" s="35">
        <v>587890</v>
      </c>
      <c r="B33" s="35" t="s">
        <v>32</v>
      </c>
      <c r="C33" s="35" t="s">
        <v>445</v>
      </c>
      <c r="D33" s="35" t="s">
        <v>446</v>
      </c>
      <c r="E33" s="35">
        <v>2304</v>
      </c>
      <c r="F33" s="34">
        <v>42713</v>
      </c>
    </row>
    <row r="34" spans="1:6" ht="15.75" x14ac:dyDescent="0.25">
      <c r="A34" s="35">
        <v>587890</v>
      </c>
      <c r="B34" s="35" t="s">
        <v>32</v>
      </c>
      <c r="C34" s="35" t="s">
        <v>447</v>
      </c>
      <c r="D34" s="35" t="s">
        <v>448</v>
      </c>
      <c r="E34" s="35">
        <v>1000</v>
      </c>
      <c r="F34" s="34">
        <v>42716</v>
      </c>
    </row>
    <row r="35" spans="1:6" ht="15.75" x14ac:dyDescent="0.25">
      <c r="A35" s="35">
        <v>587890</v>
      </c>
      <c r="B35" s="35" t="s">
        <v>32</v>
      </c>
      <c r="C35" s="35" t="s">
        <v>350</v>
      </c>
      <c r="D35" s="35" t="s">
        <v>449</v>
      </c>
      <c r="E35" s="35">
        <v>2000</v>
      </c>
      <c r="F35" s="34">
        <v>42716</v>
      </c>
    </row>
    <row r="36" spans="1:6" ht="15.75" x14ac:dyDescent="0.25">
      <c r="A36" s="35">
        <v>526712</v>
      </c>
      <c r="B36" s="35" t="s">
        <v>14</v>
      </c>
      <c r="C36" s="35" t="s">
        <v>163</v>
      </c>
      <c r="D36" s="35" t="s">
        <v>450</v>
      </c>
      <c r="E36" s="35">
        <v>51.84</v>
      </c>
      <c r="F36" s="34">
        <v>42719</v>
      </c>
    </row>
    <row r="37" spans="1:6" ht="15.75" x14ac:dyDescent="0.25">
      <c r="A37" s="35">
        <v>526712</v>
      </c>
      <c r="B37" s="35" t="s">
        <v>14</v>
      </c>
      <c r="C37" s="35" t="s">
        <v>451</v>
      </c>
      <c r="D37" s="35" t="s">
        <v>452</v>
      </c>
      <c r="E37" s="35">
        <v>65.78</v>
      </c>
      <c r="F37" s="34">
        <v>42719</v>
      </c>
    </row>
    <row r="38" spans="1:6" ht="15.75" x14ac:dyDescent="0.25">
      <c r="A38" s="35">
        <v>526712</v>
      </c>
      <c r="B38" s="35" t="s">
        <v>14</v>
      </c>
      <c r="C38" s="35" t="s">
        <v>265</v>
      </c>
      <c r="D38" s="35" t="s">
        <v>453</v>
      </c>
      <c r="E38" s="35">
        <v>77.56</v>
      </c>
      <c r="F38" s="34">
        <v>42719</v>
      </c>
    </row>
    <row r="39" spans="1:6" ht="15.75" x14ac:dyDescent="0.25">
      <c r="A39" s="35">
        <v>526712</v>
      </c>
      <c r="B39" s="35" t="s">
        <v>14</v>
      </c>
      <c r="C39" s="35" t="s">
        <v>232</v>
      </c>
      <c r="D39" s="35" t="s">
        <v>454</v>
      </c>
      <c r="E39" s="35">
        <v>98.84</v>
      </c>
      <c r="F39" s="34">
        <v>42719</v>
      </c>
    </row>
    <row r="40" spans="1:6" ht="15.75" x14ac:dyDescent="0.25">
      <c r="A40" s="35">
        <v>526712</v>
      </c>
      <c r="B40" s="35" t="s">
        <v>14</v>
      </c>
      <c r="C40" s="35" t="s">
        <v>180</v>
      </c>
      <c r="D40" s="35" t="s">
        <v>455</v>
      </c>
      <c r="E40" s="35">
        <v>109.48</v>
      </c>
      <c r="F40" s="34">
        <v>42719</v>
      </c>
    </row>
    <row r="41" spans="1:6" ht="15.75" x14ac:dyDescent="0.25">
      <c r="A41" s="35">
        <v>526712</v>
      </c>
      <c r="B41" s="35" t="s">
        <v>14</v>
      </c>
      <c r="C41" s="35" t="s">
        <v>271</v>
      </c>
      <c r="D41" s="35" t="s">
        <v>456</v>
      </c>
      <c r="E41" s="35">
        <v>121.64</v>
      </c>
      <c r="F41" s="34">
        <v>42719</v>
      </c>
    </row>
    <row r="42" spans="1:6" ht="15.75" x14ac:dyDescent="0.25">
      <c r="A42" s="35">
        <v>587890</v>
      </c>
      <c r="B42" s="35" t="s">
        <v>32</v>
      </c>
      <c r="C42" s="35" t="s">
        <v>441</v>
      </c>
      <c r="D42" s="35" t="s">
        <v>457</v>
      </c>
      <c r="E42" s="35">
        <v>350</v>
      </c>
      <c r="F42" s="34">
        <v>42720</v>
      </c>
    </row>
    <row r="43" spans="1:6" ht="15.75" x14ac:dyDescent="0.25">
      <c r="A43" s="35">
        <v>587890</v>
      </c>
      <c r="B43" s="35" t="s">
        <v>32</v>
      </c>
      <c r="C43" s="35" t="s">
        <v>458</v>
      </c>
      <c r="D43" s="35" t="s">
        <v>459</v>
      </c>
      <c r="E43" s="35">
        <v>2500</v>
      </c>
      <c r="F43" s="34">
        <v>42720</v>
      </c>
    </row>
    <row r="44" spans="1:6" ht="15.75" x14ac:dyDescent="0.25">
      <c r="A44" s="35">
        <v>527120</v>
      </c>
      <c r="B44" s="35" t="s">
        <v>143</v>
      </c>
      <c r="C44" s="35" t="s">
        <v>144</v>
      </c>
      <c r="D44" s="35" t="s">
        <v>460</v>
      </c>
      <c r="E44" s="35">
        <v>5.04</v>
      </c>
      <c r="F44" s="34">
        <v>42723</v>
      </c>
    </row>
    <row r="45" spans="1:6" ht="15.75" x14ac:dyDescent="0.25">
      <c r="A45" s="35">
        <v>527120</v>
      </c>
      <c r="B45" s="35" t="s">
        <v>143</v>
      </c>
      <c r="C45" s="35" t="s">
        <v>144</v>
      </c>
      <c r="D45" s="35" t="s">
        <v>460</v>
      </c>
      <c r="E45" s="35">
        <v>19.54</v>
      </c>
      <c r="F45" s="34">
        <v>42723</v>
      </c>
    </row>
    <row r="46" spans="1:6" ht="15.75" x14ac:dyDescent="0.25">
      <c r="A46" s="35">
        <v>515130</v>
      </c>
      <c r="B46" s="35" t="s">
        <v>10</v>
      </c>
      <c r="C46" s="35" t="s">
        <v>165</v>
      </c>
      <c r="D46" s="35" t="s">
        <v>461</v>
      </c>
      <c r="E46" s="35">
        <v>99.74</v>
      </c>
      <c r="F46" s="34">
        <v>42727</v>
      </c>
    </row>
    <row r="47" spans="1:6" ht="15.75" x14ac:dyDescent="0.25">
      <c r="A47" s="35">
        <v>515420</v>
      </c>
      <c r="B47" s="35" t="s">
        <v>12</v>
      </c>
      <c r="C47" s="35" t="s">
        <v>165</v>
      </c>
      <c r="D47" s="35" t="s">
        <v>461</v>
      </c>
      <c r="E47" s="35">
        <v>413.62</v>
      </c>
      <c r="F47" s="34">
        <v>42727</v>
      </c>
    </row>
    <row r="48" spans="1:6" ht="15.75" x14ac:dyDescent="0.25">
      <c r="A48" s="35">
        <v>515120</v>
      </c>
      <c r="B48" s="35" t="s">
        <v>9</v>
      </c>
      <c r="C48" s="35" t="s">
        <v>165</v>
      </c>
      <c r="D48" s="35" t="s">
        <v>461</v>
      </c>
      <c r="E48" s="35">
        <v>426.44</v>
      </c>
      <c r="F48" s="34">
        <v>42727</v>
      </c>
    </row>
    <row r="49" spans="1:6" ht="15.75" x14ac:dyDescent="0.25">
      <c r="A49" s="35">
        <v>515410</v>
      </c>
      <c r="B49" s="35" t="s">
        <v>11</v>
      </c>
      <c r="C49" s="35" t="s">
        <v>165</v>
      </c>
      <c r="D49" s="35" t="s">
        <v>461</v>
      </c>
      <c r="E49" s="35">
        <v>473.1</v>
      </c>
      <c r="F49" s="34">
        <v>42727</v>
      </c>
    </row>
    <row r="50" spans="1:6" ht="15.75" x14ac:dyDescent="0.25">
      <c r="A50" s="35">
        <v>515530</v>
      </c>
      <c r="B50" s="35" t="s">
        <v>13</v>
      </c>
      <c r="C50" s="35" t="s">
        <v>165</v>
      </c>
      <c r="D50" s="35" t="s">
        <v>461</v>
      </c>
      <c r="E50" s="35">
        <v>479.48</v>
      </c>
      <c r="F50" s="34">
        <v>42727</v>
      </c>
    </row>
    <row r="51" spans="1:6" ht="15.75" x14ac:dyDescent="0.25">
      <c r="A51" s="35">
        <v>511120</v>
      </c>
      <c r="B51" s="35" t="s">
        <v>6</v>
      </c>
      <c r="C51" s="35" t="s">
        <v>165</v>
      </c>
      <c r="D51" s="35" t="s">
        <v>461</v>
      </c>
      <c r="E51" s="35">
        <v>6916.67</v>
      </c>
      <c r="F51" s="34">
        <v>42727</v>
      </c>
    </row>
  </sheetData>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5CA4F-2EBE-4AF5-B226-4594631DB29B}">
  <dimension ref="A1:F54"/>
  <sheetViews>
    <sheetView workbookViewId="0">
      <selection sqref="A1:F54"/>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526712</v>
      </c>
      <c r="B2" s="35" t="s">
        <v>14</v>
      </c>
      <c r="C2" s="35" t="s">
        <v>265</v>
      </c>
      <c r="D2" s="35" t="s">
        <v>366</v>
      </c>
      <c r="E2" s="35">
        <v>48.96</v>
      </c>
      <c r="F2" s="34">
        <v>42675</v>
      </c>
    </row>
    <row r="3" spans="1:6" ht="15.75" x14ac:dyDescent="0.25">
      <c r="A3" s="35">
        <v>526712</v>
      </c>
      <c r="B3" s="35" t="s">
        <v>14</v>
      </c>
      <c r="C3" s="35" t="s">
        <v>367</v>
      </c>
      <c r="D3" s="35" t="s">
        <v>368</v>
      </c>
      <c r="E3" s="35">
        <v>101.32</v>
      </c>
      <c r="F3" s="34">
        <v>42675</v>
      </c>
    </row>
    <row r="4" spans="1:6" ht="15.75" x14ac:dyDescent="0.25">
      <c r="A4" s="35">
        <v>558979</v>
      </c>
      <c r="B4" s="35" t="s">
        <v>150</v>
      </c>
      <c r="C4" s="35" t="s">
        <v>317</v>
      </c>
      <c r="D4" s="35" t="s">
        <v>369</v>
      </c>
      <c r="E4" s="35">
        <v>125</v>
      </c>
      <c r="F4" s="34">
        <v>42681</v>
      </c>
    </row>
    <row r="5" spans="1:6" ht="15.75" x14ac:dyDescent="0.25">
      <c r="A5" s="35">
        <v>558979</v>
      </c>
      <c r="B5" s="35" t="s">
        <v>150</v>
      </c>
      <c r="C5" s="35" t="s">
        <v>309</v>
      </c>
      <c r="D5" s="35" t="s">
        <v>370</v>
      </c>
      <c r="E5" s="35">
        <v>125</v>
      </c>
      <c r="F5" s="34">
        <v>42681</v>
      </c>
    </row>
    <row r="6" spans="1:6" ht="15.75" x14ac:dyDescent="0.25">
      <c r="A6" s="35">
        <v>558979</v>
      </c>
      <c r="B6" s="35" t="s">
        <v>150</v>
      </c>
      <c r="C6" s="35" t="s">
        <v>319</v>
      </c>
      <c r="D6" s="35" t="s">
        <v>371</v>
      </c>
      <c r="E6" s="35">
        <v>125</v>
      </c>
      <c r="F6" s="34">
        <v>42681</v>
      </c>
    </row>
    <row r="7" spans="1:6" ht="15.75" x14ac:dyDescent="0.25">
      <c r="A7" s="35">
        <v>558979</v>
      </c>
      <c r="B7" s="35" t="s">
        <v>150</v>
      </c>
      <c r="C7" s="35" t="s">
        <v>321</v>
      </c>
      <c r="D7" s="35" t="s">
        <v>372</v>
      </c>
      <c r="E7" s="35">
        <v>125</v>
      </c>
      <c r="F7" s="34">
        <v>42681</v>
      </c>
    </row>
    <row r="8" spans="1:6" ht="15.75" x14ac:dyDescent="0.25">
      <c r="A8" s="35">
        <v>558979</v>
      </c>
      <c r="B8" s="35" t="s">
        <v>150</v>
      </c>
      <c r="C8" s="35" t="s">
        <v>323</v>
      </c>
      <c r="D8" s="35" t="s">
        <v>373</v>
      </c>
      <c r="E8" s="35">
        <v>125</v>
      </c>
      <c r="F8" s="34">
        <v>42681</v>
      </c>
    </row>
    <row r="9" spans="1:6" ht="15.75" x14ac:dyDescent="0.25">
      <c r="A9" s="35">
        <v>558979</v>
      </c>
      <c r="B9" s="35" t="s">
        <v>150</v>
      </c>
      <c r="C9" s="35" t="s">
        <v>325</v>
      </c>
      <c r="D9" s="35" t="s">
        <v>374</v>
      </c>
      <c r="E9" s="35">
        <v>125</v>
      </c>
      <c r="F9" s="34">
        <v>42681</v>
      </c>
    </row>
    <row r="10" spans="1:6" ht="15.75" x14ac:dyDescent="0.25">
      <c r="A10" s="35">
        <v>558979</v>
      </c>
      <c r="B10" s="35" t="s">
        <v>150</v>
      </c>
      <c r="C10" s="35" t="s">
        <v>313</v>
      </c>
      <c r="D10" s="35" t="s">
        <v>375</v>
      </c>
      <c r="E10" s="35">
        <v>125</v>
      </c>
      <c r="F10" s="34">
        <v>42681</v>
      </c>
    </row>
    <row r="11" spans="1:6" ht="15.75" x14ac:dyDescent="0.25">
      <c r="A11" s="35">
        <v>558979</v>
      </c>
      <c r="B11" s="35" t="s">
        <v>150</v>
      </c>
      <c r="C11" s="35" t="s">
        <v>315</v>
      </c>
      <c r="D11" s="35" t="s">
        <v>376</v>
      </c>
      <c r="E11" s="35">
        <v>125</v>
      </c>
      <c r="F11" s="34">
        <v>42681</v>
      </c>
    </row>
    <row r="12" spans="1:6" ht="15.75" x14ac:dyDescent="0.25">
      <c r="A12" s="35">
        <v>558979</v>
      </c>
      <c r="B12" s="35" t="s">
        <v>150</v>
      </c>
      <c r="C12" s="35" t="s">
        <v>327</v>
      </c>
      <c r="D12" s="35" t="s">
        <v>377</v>
      </c>
      <c r="E12" s="35">
        <v>125</v>
      </c>
      <c r="F12" s="34">
        <v>42681</v>
      </c>
    </row>
    <row r="13" spans="1:6" ht="15.75" x14ac:dyDescent="0.25">
      <c r="A13" s="35">
        <v>558979</v>
      </c>
      <c r="B13" s="35" t="s">
        <v>150</v>
      </c>
      <c r="C13" s="35" t="s">
        <v>311</v>
      </c>
      <c r="D13" s="35" t="s">
        <v>378</v>
      </c>
      <c r="E13" s="35">
        <v>125</v>
      </c>
      <c r="F13" s="34">
        <v>42681</v>
      </c>
    </row>
    <row r="14" spans="1:6" ht="15.75" x14ac:dyDescent="0.25">
      <c r="A14" s="35">
        <v>558979</v>
      </c>
      <c r="B14" s="35" t="s">
        <v>150</v>
      </c>
      <c r="C14" s="35" t="s">
        <v>151</v>
      </c>
      <c r="D14" s="35" t="s">
        <v>379</v>
      </c>
      <c r="E14" s="35">
        <v>125</v>
      </c>
      <c r="F14" s="34">
        <v>42681</v>
      </c>
    </row>
    <row r="15" spans="1:6" ht="15.75" x14ac:dyDescent="0.25">
      <c r="A15" s="35">
        <v>558979</v>
      </c>
      <c r="B15" s="35" t="s">
        <v>150</v>
      </c>
      <c r="C15" s="35" t="s">
        <v>307</v>
      </c>
      <c r="D15" s="35" t="s">
        <v>380</v>
      </c>
      <c r="E15" s="35">
        <v>125</v>
      </c>
      <c r="F15" s="34">
        <v>42681</v>
      </c>
    </row>
    <row r="16" spans="1:6" ht="15.75" x14ac:dyDescent="0.25">
      <c r="A16" s="35">
        <v>558979</v>
      </c>
      <c r="B16" s="35" t="s">
        <v>150</v>
      </c>
      <c r="C16" s="35" t="s">
        <v>232</v>
      </c>
      <c r="D16" s="35" t="s">
        <v>381</v>
      </c>
      <c r="E16" s="35">
        <v>200</v>
      </c>
      <c r="F16" s="34">
        <v>42681</v>
      </c>
    </row>
    <row r="17" spans="1:6" ht="15.75" x14ac:dyDescent="0.25">
      <c r="A17" s="35">
        <v>558979</v>
      </c>
      <c r="B17" s="35" t="s">
        <v>150</v>
      </c>
      <c r="C17" s="35" t="s">
        <v>184</v>
      </c>
      <c r="D17" s="35" t="s">
        <v>382</v>
      </c>
      <c r="E17" s="35">
        <v>200</v>
      </c>
      <c r="F17" s="34">
        <v>42681</v>
      </c>
    </row>
    <row r="18" spans="1:6" ht="15.75" x14ac:dyDescent="0.25">
      <c r="A18" s="35">
        <v>558979</v>
      </c>
      <c r="B18" s="35" t="s">
        <v>150</v>
      </c>
      <c r="C18" s="35" t="s">
        <v>186</v>
      </c>
      <c r="D18" s="35" t="s">
        <v>383</v>
      </c>
      <c r="E18" s="35">
        <v>200</v>
      </c>
      <c r="F18" s="34">
        <v>42681</v>
      </c>
    </row>
    <row r="19" spans="1:6" ht="15.75" x14ac:dyDescent="0.25">
      <c r="A19" s="35">
        <v>558979</v>
      </c>
      <c r="B19" s="35" t="s">
        <v>150</v>
      </c>
      <c r="C19" s="35" t="s">
        <v>182</v>
      </c>
      <c r="D19" s="35" t="s">
        <v>384</v>
      </c>
      <c r="E19" s="35">
        <v>200</v>
      </c>
      <c r="F19" s="34">
        <v>42681</v>
      </c>
    </row>
    <row r="20" spans="1:6" ht="15.75" x14ac:dyDescent="0.25">
      <c r="A20" s="35">
        <v>558979</v>
      </c>
      <c r="B20" s="35" t="s">
        <v>150</v>
      </c>
      <c r="C20" s="35" t="s">
        <v>188</v>
      </c>
      <c r="D20" s="35" t="s">
        <v>385</v>
      </c>
      <c r="E20" s="35">
        <v>225</v>
      </c>
      <c r="F20" s="34">
        <v>42681</v>
      </c>
    </row>
    <row r="21" spans="1:6" ht="15.75" x14ac:dyDescent="0.25">
      <c r="A21" s="35">
        <v>558979</v>
      </c>
      <c r="B21" s="35" t="s">
        <v>150</v>
      </c>
      <c r="C21" s="35" t="s">
        <v>386</v>
      </c>
      <c r="D21" s="35" t="s">
        <v>387</v>
      </c>
      <c r="E21" s="35">
        <v>250</v>
      </c>
      <c r="F21" s="34">
        <v>42681</v>
      </c>
    </row>
    <row r="22" spans="1:6" ht="15.75" x14ac:dyDescent="0.25">
      <c r="A22" s="35">
        <v>558979</v>
      </c>
      <c r="B22" s="35" t="s">
        <v>150</v>
      </c>
      <c r="C22" s="35" t="s">
        <v>190</v>
      </c>
      <c r="D22" s="35" t="s">
        <v>388</v>
      </c>
      <c r="E22" s="35">
        <v>400</v>
      </c>
      <c r="F22" s="34">
        <v>42681</v>
      </c>
    </row>
    <row r="23" spans="1:6" ht="15.75" x14ac:dyDescent="0.25">
      <c r="A23" s="35">
        <v>558979</v>
      </c>
      <c r="B23" s="35" t="s">
        <v>150</v>
      </c>
      <c r="C23" s="35" t="s">
        <v>163</v>
      </c>
      <c r="D23" s="35" t="s">
        <v>389</v>
      </c>
      <c r="E23" s="35">
        <v>650</v>
      </c>
      <c r="F23" s="34">
        <v>42681</v>
      </c>
    </row>
    <row r="24" spans="1:6" ht="15.75" x14ac:dyDescent="0.25">
      <c r="A24" s="35">
        <v>531110</v>
      </c>
      <c r="B24" s="35" t="s">
        <v>27</v>
      </c>
      <c r="C24" s="35" t="s">
        <v>142</v>
      </c>
      <c r="D24" s="35" t="s">
        <v>390</v>
      </c>
      <c r="E24" s="35">
        <v>-29</v>
      </c>
      <c r="F24" s="34">
        <v>42682</v>
      </c>
    </row>
    <row r="25" spans="1:6" ht="15.75" x14ac:dyDescent="0.25">
      <c r="A25" s="35">
        <v>531110</v>
      </c>
      <c r="B25" s="35" t="s">
        <v>27</v>
      </c>
      <c r="C25" s="35" t="s">
        <v>142</v>
      </c>
      <c r="D25" s="35" t="s">
        <v>391</v>
      </c>
      <c r="E25" s="35">
        <v>-29</v>
      </c>
      <c r="F25" s="34">
        <v>42682</v>
      </c>
    </row>
    <row r="26" spans="1:6" ht="15.75" x14ac:dyDescent="0.25">
      <c r="A26" s="35">
        <v>531110</v>
      </c>
      <c r="B26" s="35" t="s">
        <v>27</v>
      </c>
      <c r="C26" s="35" t="s">
        <v>142</v>
      </c>
      <c r="D26" s="35" t="s">
        <v>391</v>
      </c>
      <c r="E26" s="35">
        <v>29</v>
      </c>
      <c r="F26" s="34">
        <v>42682</v>
      </c>
    </row>
    <row r="27" spans="1:6" ht="15.75" x14ac:dyDescent="0.25">
      <c r="A27" s="35">
        <v>531110</v>
      </c>
      <c r="B27" s="35" t="s">
        <v>27</v>
      </c>
      <c r="C27" s="35" t="s">
        <v>142</v>
      </c>
      <c r="D27" s="35" t="s">
        <v>390</v>
      </c>
      <c r="E27" s="35">
        <v>32.75</v>
      </c>
      <c r="F27" s="34">
        <v>42682</v>
      </c>
    </row>
    <row r="28" spans="1:6" ht="15.75" x14ac:dyDescent="0.25">
      <c r="A28" s="35">
        <v>526150</v>
      </c>
      <c r="B28" s="35" t="s">
        <v>258</v>
      </c>
      <c r="C28" s="35" t="s">
        <v>178</v>
      </c>
      <c r="D28" s="35" t="s">
        <v>392</v>
      </c>
      <c r="E28" s="35">
        <v>37.4</v>
      </c>
      <c r="F28" s="34">
        <v>42691</v>
      </c>
    </row>
    <row r="29" spans="1:6" ht="15.75" x14ac:dyDescent="0.25">
      <c r="A29" s="35">
        <v>526120</v>
      </c>
      <c r="B29" s="35" t="s">
        <v>217</v>
      </c>
      <c r="C29" s="35" t="s">
        <v>178</v>
      </c>
      <c r="D29" s="35" t="s">
        <v>392</v>
      </c>
      <c r="E29" s="35">
        <v>154.36000000000001</v>
      </c>
      <c r="F29" s="34">
        <v>42691</v>
      </c>
    </row>
    <row r="30" spans="1:6" ht="15.75" x14ac:dyDescent="0.25">
      <c r="A30" s="35">
        <v>526712</v>
      </c>
      <c r="B30" s="35" t="s">
        <v>14</v>
      </c>
      <c r="C30" s="35" t="s">
        <v>313</v>
      </c>
      <c r="D30" s="35" t="s">
        <v>393</v>
      </c>
      <c r="E30" s="35">
        <v>36.72</v>
      </c>
      <c r="F30" s="34">
        <v>42695</v>
      </c>
    </row>
    <row r="31" spans="1:6" ht="15.75" x14ac:dyDescent="0.25">
      <c r="A31" s="35">
        <v>526712</v>
      </c>
      <c r="B31" s="35" t="s">
        <v>14</v>
      </c>
      <c r="C31" s="35" t="s">
        <v>307</v>
      </c>
      <c r="D31" s="35" t="s">
        <v>394</v>
      </c>
      <c r="E31" s="35">
        <v>64.599999999999994</v>
      </c>
      <c r="F31" s="34">
        <v>42695</v>
      </c>
    </row>
    <row r="32" spans="1:6" ht="15.75" x14ac:dyDescent="0.25">
      <c r="A32" s="35">
        <v>526712</v>
      </c>
      <c r="B32" s="35" t="s">
        <v>14</v>
      </c>
      <c r="C32" s="35" t="s">
        <v>232</v>
      </c>
      <c r="D32" s="35" t="s">
        <v>395</v>
      </c>
      <c r="E32" s="35">
        <v>64.599999999999994</v>
      </c>
      <c r="F32" s="34">
        <v>42695</v>
      </c>
    </row>
    <row r="33" spans="1:6" ht="15.75" x14ac:dyDescent="0.25">
      <c r="A33" s="35">
        <v>526712</v>
      </c>
      <c r="B33" s="35" t="s">
        <v>14</v>
      </c>
      <c r="C33" s="35" t="s">
        <v>396</v>
      </c>
      <c r="D33" s="35" t="s">
        <v>397</v>
      </c>
      <c r="E33" s="35">
        <v>89.76</v>
      </c>
      <c r="F33" s="34">
        <v>42695</v>
      </c>
    </row>
    <row r="34" spans="1:6" ht="15.75" x14ac:dyDescent="0.25">
      <c r="A34" s="35">
        <v>526712</v>
      </c>
      <c r="B34" s="35" t="s">
        <v>14</v>
      </c>
      <c r="C34" s="35" t="s">
        <v>180</v>
      </c>
      <c r="D34" s="35" t="s">
        <v>398</v>
      </c>
      <c r="E34" s="35">
        <v>134.63999999999999</v>
      </c>
      <c r="F34" s="34">
        <v>42695</v>
      </c>
    </row>
    <row r="35" spans="1:6" ht="15.75" x14ac:dyDescent="0.25">
      <c r="A35" s="35">
        <v>526712</v>
      </c>
      <c r="B35" s="35" t="s">
        <v>14</v>
      </c>
      <c r="C35" s="35" t="s">
        <v>184</v>
      </c>
      <c r="D35" s="35" t="s">
        <v>399</v>
      </c>
      <c r="E35" s="35">
        <v>151.63999999999999</v>
      </c>
      <c r="F35" s="34">
        <v>42695</v>
      </c>
    </row>
    <row r="36" spans="1:6" ht="15.75" x14ac:dyDescent="0.25">
      <c r="A36" s="35">
        <v>526712</v>
      </c>
      <c r="B36" s="35" t="s">
        <v>14</v>
      </c>
      <c r="C36" s="35" t="s">
        <v>190</v>
      </c>
      <c r="D36" s="35" t="s">
        <v>400</v>
      </c>
      <c r="E36" s="35">
        <v>154.36000000000001</v>
      </c>
      <c r="F36" s="34">
        <v>42695</v>
      </c>
    </row>
    <row r="37" spans="1:6" ht="15.75" x14ac:dyDescent="0.25">
      <c r="A37" s="35">
        <v>526712</v>
      </c>
      <c r="B37" s="35" t="s">
        <v>14</v>
      </c>
      <c r="C37" s="35" t="s">
        <v>163</v>
      </c>
      <c r="D37" s="35" t="s">
        <v>401</v>
      </c>
      <c r="E37" s="35">
        <v>167.28</v>
      </c>
      <c r="F37" s="34">
        <v>42695</v>
      </c>
    </row>
    <row r="38" spans="1:6" ht="15.75" x14ac:dyDescent="0.25">
      <c r="A38" s="35">
        <v>526712</v>
      </c>
      <c r="B38" s="35" t="s">
        <v>14</v>
      </c>
      <c r="C38" s="35" t="s">
        <v>327</v>
      </c>
      <c r="D38" s="35" t="s">
        <v>402</v>
      </c>
      <c r="E38" s="35">
        <v>177.48</v>
      </c>
      <c r="F38" s="34">
        <v>42695</v>
      </c>
    </row>
    <row r="39" spans="1:6" ht="15.75" x14ac:dyDescent="0.25">
      <c r="A39" s="35">
        <v>526712</v>
      </c>
      <c r="B39" s="35" t="s">
        <v>14</v>
      </c>
      <c r="C39" s="35" t="s">
        <v>321</v>
      </c>
      <c r="D39" s="35" t="s">
        <v>403</v>
      </c>
      <c r="E39" s="35">
        <v>248.88</v>
      </c>
      <c r="F39" s="34">
        <v>42695</v>
      </c>
    </row>
    <row r="40" spans="1:6" ht="15.75" x14ac:dyDescent="0.25">
      <c r="A40" s="35">
        <v>538110</v>
      </c>
      <c r="B40" s="35" t="s">
        <v>210</v>
      </c>
      <c r="C40" s="35" t="s">
        <v>404</v>
      </c>
      <c r="D40" s="35" t="s">
        <v>405</v>
      </c>
      <c r="E40" s="35">
        <v>288</v>
      </c>
      <c r="F40" s="34">
        <v>42695</v>
      </c>
    </row>
    <row r="41" spans="1:6" ht="15.75" x14ac:dyDescent="0.25">
      <c r="A41" s="35">
        <v>587890</v>
      </c>
      <c r="B41" s="35" t="s">
        <v>32</v>
      </c>
      <c r="C41" s="35" t="s">
        <v>406</v>
      </c>
      <c r="D41" s="35" t="s">
        <v>407</v>
      </c>
      <c r="E41" s="35">
        <v>650</v>
      </c>
      <c r="F41" s="34">
        <v>42695</v>
      </c>
    </row>
    <row r="42" spans="1:6" ht="15.75" x14ac:dyDescent="0.25">
      <c r="A42" s="35">
        <v>527120</v>
      </c>
      <c r="B42" s="35" t="s">
        <v>143</v>
      </c>
      <c r="C42" s="35" t="s">
        <v>144</v>
      </c>
      <c r="D42" s="35" t="s">
        <v>408</v>
      </c>
      <c r="E42" s="35">
        <v>5.04</v>
      </c>
      <c r="F42" s="34">
        <v>42697</v>
      </c>
    </row>
    <row r="43" spans="1:6" ht="15.75" x14ac:dyDescent="0.25">
      <c r="A43" s="35">
        <v>527120</v>
      </c>
      <c r="B43" s="35" t="s">
        <v>143</v>
      </c>
      <c r="C43" s="35" t="s">
        <v>144</v>
      </c>
      <c r="D43" s="35" t="s">
        <v>408</v>
      </c>
      <c r="E43" s="35">
        <v>19.54</v>
      </c>
      <c r="F43" s="34">
        <v>42697</v>
      </c>
    </row>
    <row r="44" spans="1:6" ht="15.75" x14ac:dyDescent="0.25">
      <c r="A44" s="35">
        <v>526712</v>
      </c>
      <c r="B44" s="35" t="s">
        <v>14</v>
      </c>
      <c r="C44" s="35" t="s">
        <v>409</v>
      </c>
      <c r="D44" s="35" t="s">
        <v>410</v>
      </c>
      <c r="E44" s="35">
        <v>101.32</v>
      </c>
      <c r="F44" s="34">
        <v>42702</v>
      </c>
    </row>
    <row r="45" spans="1:6" ht="15.75" x14ac:dyDescent="0.25">
      <c r="A45" s="35">
        <v>526712</v>
      </c>
      <c r="B45" s="35" t="s">
        <v>14</v>
      </c>
      <c r="C45" s="35" t="s">
        <v>411</v>
      </c>
      <c r="D45" s="35" t="s">
        <v>412</v>
      </c>
      <c r="E45" s="35">
        <v>152.32</v>
      </c>
      <c r="F45" s="34">
        <v>42702</v>
      </c>
    </row>
    <row r="46" spans="1:6" ht="15.75" x14ac:dyDescent="0.25">
      <c r="A46" s="35">
        <v>526712</v>
      </c>
      <c r="B46" s="35" t="s">
        <v>14</v>
      </c>
      <c r="C46" s="35" t="s">
        <v>413</v>
      </c>
      <c r="D46" s="35" t="s">
        <v>414</v>
      </c>
      <c r="E46" s="35">
        <v>168.64</v>
      </c>
      <c r="F46" s="34">
        <v>42702</v>
      </c>
    </row>
    <row r="47" spans="1:6" ht="15.75" x14ac:dyDescent="0.25">
      <c r="A47" s="35">
        <v>526712</v>
      </c>
      <c r="B47" s="35" t="s">
        <v>14</v>
      </c>
      <c r="C47" s="35" t="s">
        <v>415</v>
      </c>
      <c r="D47" s="35" t="s">
        <v>416</v>
      </c>
      <c r="E47" s="35">
        <v>225.08</v>
      </c>
      <c r="F47" s="34">
        <v>42702</v>
      </c>
    </row>
    <row r="48" spans="1:6" ht="15.75" x14ac:dyDescent="0.25">
      <c r="A48" s="35">
        <v>526712</v>
      </c>
      <c r="B48" s="35" t="s">
        <v>14</v>
      </c>
      <c r="C48" s="35" t="s">
        <v>417</v>
      </c>
      <c r="D48" s="35" t="s">
        <v>418</v>
      </c>
      <c r="E48" s="35">
        <v>281.52</v>
      </c>
      <c r="F48" s="34">
        <v>42702</v>
      </c>
    </row>
    <row r="49" spans="1:6" ht="15.75" x14ac:dyDescent="0.25">
      <c r="A49" s="35">
        <v>515130</v>
      </c>
      <c r="B49" s="35" t="s">
        <v>10</v>
      </c>
      <c r="C49" s="35" t="s">
        <v>165</v>
      </c>
      <c r="D49" s="35" t="s">
        <v>419</v>
      </c>
      <c r="E49" s="35">
        <v>99.52</v>
      </c>
      <c r="F49" s="34">
        <v>42704</v>
      </c>
    </row>
    <row r="50" spans="1:6" ht="15.75" x14ac:dyDescent="0.25">
      <c r="A50" s="35">
        <v>515420</v>
      </c>
      <c r="B50" s="35" t="s">
        <v>12</v>
      </c>
      <c r="C50" s="35" t="s">
        <v>165</v>
      </c>
      <c r="D50" s="35" t="s">
        <v>419</v>
      </c>
      <c r="E50" s="35">
        <v>413.62</v>
      </c>
      <c r="F50" s="34">
        <v>42704</v>
      </c>
    </row>
    <row r="51" spans="1:6" ht="15.75" x14ac:dyDescent="0.25">
      <c r="A51" s="35">
        <v>515120</v>
      </c>
      <c r="B51" s="35" t="s">
        <v>9</v>
      </c>
      <c r="C51" s="35" t="s">
        <v>165</v>
      </c>
      <c r="D51" s="35" t="s">
        <v>419</v>
      </c>
      <c r="E51" s="35">
        <v>425.55</v>
      </c>
      <c r="F51" s="34">
        <v>42704</v>
      </c>
    </row>
    <row r="52" spans="1:6" ht="15.75" x14ac:dyDescent="0.25">
      <c r="A52" s="35">
        <v>515530</v>
      </c>
      <c r="B52" s="35" t="s">
        <v>13</v>
      </c>
      <c r="C52" s="35" t="s">
        <v>165</v>
      </c>
      <c r="D52" s="35" t="s">
        <v>419</v>
      </c>
      <c r="E52" s="35">
        <v>463.68</v>
      </c>
      <c r="F52" s="34">
        <v>42704</v>
      </c>
    </row>
    <row r="53" spans="1:6" ht="15.75" x14ac:dyDescent="0.25">
      <c r="A53" s="35">
        <v>515410</v>
      </c>
      <c r="B53" s="35" t="s">
        <v>11</v>
      </c>
      <c r="C53" s="35" t="s">
        <v>165</v>
      </c>
      <c r="D53" s="35" t="s">
        <v>419</v>
      </c>
      <c r="E53" s="35">
        <v>473.1</v>
      </c>
      <c r="F53" s="34">
        <v>42704</v>
      </c>
    </row>
    <row r="54" spans="1:6" ht="15.75" x14ac:dyDescent="0.25">
      <c r="A54" s="35">
        <v>511120</v>
      </c>
      <c r="B54" s="35" t="s">
        <v>6</v>
      </c>
      <c r="C54" s="35" t="s">
        <v>165</v>
      </c>
      <c r="D54" s="35" t="s">
        <v>419</v>
      </c>
      <c r="E54" s="35">
        <v>6916.67</v>
      </c>
      <c r="F54" s="34">
        <v>42704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16A64-4370-462B-8958-B3065296D6F1}">
  <dimension ref="A1:F7"/>
  <sheetViews>
    <sheetView zoomScaleNormal="100" workbookViewId="0">
      <selection activeCell="E3" sqref="E3"/>
    </sheetView>
  </sheetViews>
  <sheetFormatPr defaultRowHeight="15" x14ac:dyDescent="0.25"/>
  <cols>
    <col min="1" max="1" width="10.7109375" style="36" customWidth="1"/>
    <col min="2" max="6" width="35.7109375" style="36" customWidth="1"/>
    <col min="7" max="16384" width="9.140625" style="36"/>
  </cols>
  <sheetData>
    <row r="1" spans="1:6" ht="16.5" x14ac:dyDescent="0.3">
      <c r="A1" s="91" t="s">
        <v>0</v>
      </c>
      <c r="B1" s="91" t="s">
        <v>1</v>
      </c>
      <c r="C1" s="91" t="s">
        <v>2</v>
      </c>
      <c r="D1" s="91" t="s">
        <v>3</v>
      </c>
      <c r="E1" s="91" t="s">
        <v>4</v>
      </c>
      <c r="F1" s="92" t="s">
        <v>5</v>
      </c>
    </row>
    <row r="2" spans="1:6" ht="15.75" x14ac:dyDescent="0.25">
      <c r="A2" s="35">
        <v>441740</v>
      </c>
      <c r="B2" s="35" t="s">
        <v>2634</v>
      </c>
      <c r="C2" s="35" t="s">
        <v>2635</v>
      </c>
      <c r="D2" s="35" t="s">
        <v>2636</v>
      </c>
      <c r="E2" s="35">
        <v>-250000</v>
      </c>
      <c r="F2" s="34">
        <v>43922</v>
      </c>
    </row>
    <row r="3" spans="1:6" ht="15.75" x14ac:dyDescent="0.25">
      <c r="A3" s="35">
        <v>522928</v>
      </c>
      <c r="B3" s="35" t="s">
        <v>211</v>
      </c>
      <c r="C3" s="35" t="s">
        <v>178</v>
      </c>
      <c r="D3" s="35" t="s">
        <v>2637</v>
      </c>
      <c r="E3" s="35">
        <v>132</v>
      </c>
      <c r="F3" s="34">
        <v>43930</v>
      </c>
    </row>
    <row r="4" spans="1:6" ht="15.75" x14ac:dyDescent="0.25">
      <c r="A4" s="35">
        <v>587890</v>
      </c>
      <c r="B4" s="35" t="s">
        <v>32</v>
      </c>
      <c r="C4" s="35" t="s">
        <v>443</v>
      </c>
      <c r="D4" s="35" t="s">
        <v>2638</v>
      </c>
      <c r="E4" s="35">
        <v>705</v>
      </c>
      <c r="F4" s="34">
        <v>43930</v>
      </c>
    </row>
    <row r="5" spans="1:6" ht="15.75" x14ac:dyDescent="0.25">
      <c r="A5" s="35">
        <v>441740</v>
      </c>
      <c r="B5" s="35" t="s">
        <v>2634</v>
      </c>
      <c r="C5" s="35" t="s">
        <v>2634</v>
      </c>
      <c r="D5" s="35" t="s">
        <v>2639</v>
      </c>
      <c r="E5" s="35">
        <v>185000</v>
      </c>
      <c r="F5" s="34">
        <v>43930</v>
      </c>
    </row>
    <row r="7" spans="1:6" x14ac:dyDescent="0.25">
      <c r="F7" s="93"/>
    </row>
  </sheetData>
  <pageMargins left="0.7" right="0.7" top="0.75" bottom="0.75" header="0.3" footer="0.3"/>
  <pageSetup orientation="portrait" r:id="rId1"/>
  <tableParts count="1">
    <tablePart r:id="rId2"/>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BFE1-58FA-46CF-947E-7110D14C15B7}">
  <dimension ref="A1:F93"/>
  <sheetViews>
    <sheetView workbookViewId="0">
      <selection activeCell="E18" sqref="E18"/>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526712</v>
      </c>
      <c r="B2" s="35" t="s">
        <v>14</v>
      </c>
      <c r="C2" s="35" t="s">
        <v>284</v>
      </c>
      <c r="D2" s="35" t="s">
        <v>285</v>
      </c>
      <c r="E2" s="35">
        <v>88.4</v>
      </c>
      <c r="F2" s="34">
        <v>42644</v>
      </c>
    </row>
    <row r="3" spans="1:6" ht="15.75" x14ac:dyDescent="0.25">
      <c r="A3" s="35">
        <v>526712</v>
      </c>
      <c r="B3" s="35" t="s">
        <v>14</v>
      </c>
      <c r="C3" s="35" t="s">
        <v>286</v>
      </c>
      <c r="D3" s="35" t="s">
        <v>287</v>
      </c>
      <c r="E3" s="35">
        <v>103.36</v>
      </c>
      <c r="F3" s="34">
        <v>42644</v>
      </c>
    </row>
    <row r="4" spans="1:6" ht="15.75" x14ac:dyDescent="0.25">
      <c r="A4" s="35">
        <v>526712</v>
      </c>
      <c r="B4" s="35" t="s">
        <v>14</v>
      </c>
      <c r="C4" s="35" t="s">
        <v>288</v>
      </c>
      <c r="D4" s="35" t="s">
        <v>289</v>
      </c>
      <c r="E4" s="35">
        <v>106.08</v>
      </c>
      <c r="F4" s="34">
        <v>42644</v>
      </c>
    </row>
    <row r="5" spans="1:6" ht="15.75" x14ac:dyDescent="0.25">
      <c r="A5" s="35">
        <v>526712</v>
      </c>
      <c r="B5" s="35" t="s">
        <v>14</v>
      </c>
      <c r="C5" s="35" t="s">
        <v>290</v>
      </c>
      <c r="D5" s="35" t="s">
        <v>291</v>
      </c>
      <c r="E5" s="35">
        <v>140.76</v>
      </c>
      <c r="F5" s="34">
        <v>42644</v>
      </c>
    </row>
    <row r="6" spans="1:6" ht="15.75" x14ac:dyDescent="0.25">
      <c r="A6" s="35">
        <v>526712</v>
      </c>
      <c r="B6" s="35" t="s">
        <v>14</v>
      </c>
      <c r="C6" s="35" t="s">
        <v>292</v>
      </c>
      <c r="D6" s="35" t="s">
        <v>293</v>
      </c>
      <c r="E6" s="35">
        <v>142.12</v>
      </c>
      <c r="F6" s="34">
        <v>42644</v>
      </c>
    </row>
    <row r="7" spans="1:6" ht="15.75" x14ac:dyDescent="0.25">
      <c r="A7" s="35">
        <v>526712</v>
      </c>
      <c r="B7" s="35" t="s">
        <v>14</v>
      </c>
      <c r="C7" s="35" t="s">
        <v>290</v>
      </c>
      <c r="D7" s="35" t="s">
        <v>294</v>
      </c>
      <c r="E7" s="35">
        <v>36.72</v>
      </c>
      <c r="F7" s="34">
        <v>42646</v>
      </c>
    </row>
    <row r="8" spans="1:6" ht="15.75" x14ac:dyDescent="0.25">
      <c r="A8" s="35">
        <v>526741</v>
      </c>
      <c r="B8" s="35" t="s">
        <v>23</v>
      </c>
      <c r="C8" s="35" t="s">
        <v>178</v>
      </c>
      <c r="D8" s="35" t="s">
        <v>295</v>
      </c>
      <c r="E8" s="35">
        <v>262.88</v>
      </c>
      <c r="F8" s="34">
        <v>42648</v>
      </c>
    </row>
    <row r="9" spans="1:6" ht="15.75" x14ac:dyDescent="0.25">
      <c r="A9" s="35">
        <v>487110</v>
      </c>
      <c r="B9" s="35" t="s">
        <v>36</v>
      </c>
      <c r="C9" s="35" t="s">
        <v>296</v>
      </c>
      <c r="D9" s="35" t="s">
        <v>297</v>
      </c>
      <c r="E9" s="35">
        <v>13097.72</v>
      </c>
      <c r="F9" s="34">
        <v>42648</v>
      </c>
    </row>
    <row r="10" spans="1:6" ht="15.75" x14ac:dyDescent="0.25">
      <c r="A10" s="35">
        <v>526712</v>
      </c>
      <c r="B10" s="35" t="s">
        <v>14</v>
      </c>
      <c r="C10" s="35" t="s">
        <v>286</v>
      </c>
      <c r="D10" s="35" t="s">
        <v>298</v>
      </c>
      <c r="E10" s="35">
        <v>114.24</v>
      </c>
      <c r="F10" s="34">
        <v>42649</v>
      </c>
    </row>
    <row r="11" spans="1:6" ht="15.75" x14ac:dyDescent="0.25">
      <c r="A11" s="35">
        <v>487110</v>
      </c>
      <c r="B11" s="35" t="s">
        <v>36</v>
      </c>
      <c r="C11" s="35" t="s">
        <v>299</v>
      </c>
      <c r="D11" s="35" t="s">
        <v>300</v>
      </c>
      <c r="E11" s="35">
        <v>2251.34</v>
      </c>
      <c r="F11" s="34">
        <v>42649</v>
      </c>
    </row>
    <row r="12" spans="1:6" ht="15.75" x14ac:dyDescent="0.25">
      <c r="A12" s="35">
        <v>487110</v>
      </c>
      <c r="B12" s="35" t="s">
        <v>36</v>
      </c>
      <c r="C12" s="35" t="s">
        <v>301</v>
      </c>
      <c r="D12" s="35" t="s">
        <v>302</v>
      </c>
      <c r="E12" s="35">
        <v>13685.87</v>
      </c>
      <c r="F12" s="34">
        <v>42650</v>
      </c>
    </row>
    <row r="13" spans="1:6" ht="15.75" x14ac:dyDescent="0.25">
      <c r="A13" s="35">
        <v>487110</v>
      </c>
      <c r="B13" s="35" t="s">
        <v>36</v>
      </c>
      <c r="C13" s="35" t="s">
        <v>303</v>
      </c>
      <c r="D13" s="35" t="s">
        <v>304</v>
      </c>
      <c r="E13" s="35">
        <v>4728.21</v>
      </c>
      <c r="F13" s="34">
        <v>42653</v>
      </c>
    </row>
    <row r="14" spans="1:6" ht="15.75" x14ac:dyDescent="0.25">
      <c r="A14" s="35">
        <v>487110</v>
      </c>
      <c r="B14" s="35" t="s">
        <v>36</v>
      </c>
      <c r="C14" s="35" t="s">
        <v>305</v>
      </c>
      <c r="D14" s="35" t="s">
        <v>306</v>
      </c>
      <c r="E14" s="35">
        <v>8591.67</v>
      </c>
      <c r="F14" s="34">
        <v>42653</v>
      </c>
    </row>
    <row r="15" spans="1:6" ht="15.75" x14ac:dyDescent="0.25">
      <c r="A15" s="35">
        <v>531110</v>
      </c>
      <c r="B15" s="35" t="s">
        <v>27</v>
      </c>
      <c r="C15" s="35" t="s">
        <v>142</v>
      </c>
      <c r="D15" s="35">
        <v>2000002538</v>
      </c>
      <c r="E15" s="35">
        <v>-29</v>
      </c>
      <c r="F15" s="34">
        <v>42654</v>
      </c>
    </row>
    <row r="16" spans="1:6" ht="15.75" x14ac:dyDescent="0.25">
      <c r="A16" s="35">
        <v>531110</v>
      </c>
      <c r="B16" s="35" t="s">
        <v>27</v>
      </c>
      <c r="C16" s="35" t="s">
        <v>142</v>
      </c>
      <c r="D16" s="35">
        <v>2000002537</v>
      </c>
      <c r="E16" s="35">
        <v>-29</v>
      </c>
      <c r="F16" s="34">
        <v>42654</v>
      </c>
    </row>
    <row r="17" spans="1:6" ht="15.75" x14ac:dyDescent="0.25">
      <c r="A17" s="35">
        <v>558979</v>
      </c>
      <c r="B17" s="35" t="s">
        <v>150</v>
      </c>
      <c r="C17" s="35" t="s">
        <v>307</v>
      </c>
      <c r="D17" s="35" t="s">
        <v>308</v>
      </c>
      <c r="E17" s="35">
        <v>125</v>
      </c>
      <c r="F17" s="34">
        <v>42655</v>
      </c>
    </row>
    <row r="18" spans="1:6" ht="15.75" x14ac:dyDescent="0.25">
      <c r="A18" s="35">
        <v>558979</v>
      </c>
      <c r="B18" s="35" t="s">
        <v>150</v>
      </c>
      <c r="C18" s="35" t="s">
        <v>309</v>
      </c>
      <c r="D18" s="35" t="s">
        <v>310</v>
      </c>
      <c r="E18" s="35">
        <v>125</v>
      </c>
      <c r="F18" s="34">
        <v>42655</v>
      </c>
    </row>
    <row r="19" spans="1:6" ht="15.75" x14ac:dyDescent="0.25">
      <c r="A19" s="35">
        <v>558979</v>
      </c>
      <c r="B19" s="35" t="s">
        <v>150</v>
      </c>
      <c r="C19" s="35" t="s">
        <v>311</v>
      </c>
      <c r="D19" s="35" t="s">
        <v>312</v>
      </c>
      <c r="E19" s="35">
        <v>125</v>
      </c>
      <c r="F19" s="34">
        <v>42655</v>
      </c>
    </row>
    <row r="20" spans="1:6" ht="15.75" x14ac:dyDescent="0.25">
      <c r="A20" s="35">
        <v>558979</v>
      </c>
      <c r="B20" s="35" t="s">
        <v>150</v>
      </c>
      <c r="C20" s="35" t="s">
        <v>313</v>
      </c>
      <c r="D20" s="35" t="s">
        <v>314</v>
      </c>
      <c r="E20" s="35">
        <v>125</v>
      </c>
      <c r="F20" s="34">
        <v>42655</v>
      </c>
    </row>
    <row r="21" spans="1:6" ht="15.75" x14ac:dyDescent="0.25">
      <c r="A21" s="35">
        <v>558979</v>
      </c>
      <c r="B21" s="35" t="s">
        <v>150</v>
      </c>
      <c r="C21" s="35" t="s">
        <v>315</v>
      </c>
      <c r="D21" s="35" t="s">
        <v>316</v>
      </c>
      <c r="E21" s="35">
        <v>125</v>
      </c>
      <c r="F21" s="34">
        <v>42655</v>
      </c>
    </row>
    <row r="22" spans="1:6" ht="15.75" x14ac:dyDescent="0.25">
      <c r="A22" s="35">
        <v>558979</v>
      </c>
      <c r="B22" s="35" t="s">
        <v>150</v>
      </c>
      <c r="C22" s="35" t="s">
        <v>317</v>
      </c>
      <c r="D22" s="35" t="s">
        <v>318</v>
      </c>
      <c r="E22" s="35">
        <v>125</v>
      </c>
      <c r="F22" s="34">
        <v>42655</v>
      </c>
    </row>
    <row r="23" spans="1:6" ht="15.75" x14ac:dyDescent="0.25">
      <c r="A23" s="35">
        <v>558979</v>
      </c>
      <c r="B23" s="35" t="s">
        <v>150</v>
      </c>
      <c r="C23" s="35" t="s">
        <v>319</v>
      </c>
      <c r="D23" s="35" t="s">
        <v>320</v>
      </c>
      <c r="E23" s="35">
        <v>125</v>
      </c>
      <c r="F23" s="34">
        <v>42655</v>
      </c>
    </row>
    <row r="24" spans="1:6" ht="15.75" x14ac:dyDescent="0.25">
      <c r="A24" s="35">
        <v>558979</v>
      </c>
      <c r="B24" s="35" t="s">
        <v>150</v>
      </c>
      <c r="C24" s="35" t="s">
        <v>321</v>
      </c>
      <c r="D24" s="35" t="s">
        <v>322</v>
      </c>
      <c r="E24" s="35">
        <v>125</v>
      </c>
      <c r="F24" s="34">
        <v>42655</v>
      </c>
    </row>
    <row r="25" spans="1:6" ht="15.75" x14ac:dyDescent="0.25">
      <c r="A25" s="35">
        <v>558979</v>
      </c>
      <c r="B25" s="35" t="s">
        <v>150</v>
      </c>
      <c r="C25" s="35" t="s">
        <v>323</v>
      </c>
      <c r="D25" s="35" t="s">
        <v>324</v>
      </c>
      <c r="E25" s="35">
        <v>125</v>
      </c>
      <c r="F25" s="34">
        <v>42655</v>
      </c>
    </row>
    <row r="26" spans="1:6" ht="15.75" x14ac:dyDescent="0.25">
      <c r="A26" s="35">
        <v>558979</v>
      </c>
      <c r="B26" s="35" t="s">
        <v>150</v>
      </c>
      <c r="C26" s="35" t="s">
        <v>325</v>
      </c>
      <c r="D26" s="35" t="s">
        <v>326</v>
      </c>
      <c r="E26" s="35">
        <v>125</v>
      </c>
      <c r="F26" s="34">
        <v>42655</v>
      </c>
    </row>
    <row r="27" spans="1:6" ht="15.75" x14ac:dyDescent="0.25">
      <c r="A27" s="35">
        <v>558979</v>
      </c>
      <c r="B27" s="35" t="s">
        <v>150</v>
      </c>
      <c r="C27" s="35" t="s">
        <v>327</v>
      </c>
      <c r="D27" s="35" t="s">
        <v>328</v>
      </c>
      <c r="E27" s="35">
        <v>125</v>
      </c>
      <c r="F27" s="34">
        <v>42655</v>
      </c>
    </row>
    <row r="28" spans="1:6" ht="15.75" x14ac:dyDescent="0.25">
      <c r="A28" s="35">
        <v>558979</v>
      </c>
      <c r="B28" s="35" t="s">
        <v>150</v>
      </c>
      <c r="C28" s="35" t="s">
        <v>151</v>
      </c>
      <c r="D28" s="35" t="s">
        <v>329</v>
      </c>
      <c r="E28" s="35">
        <v>125</v>
      </c>
      <c r="F28" s="34">
        <v>42655</v>
      </c>
    </row>
    <row r="29" spans="1:6" ht="15.75" x14ac:dyDescent="0.25">
      <c r="A29" s="35">
        <v>558979</v>
      </c>
      <c r="B29" s="35" t="s">
        <v>150</v>
      </c>
      <c r="C29" s="35" t="s">
        <v>186</v>
      </c>
      <c r="D29" s="35" t="s">
        <v>330</v>
      </c>
      <c r="E29" s="35">
        <v>200</v>
      </c>
      <c r="F29" s="34">
        <v>42655</v>
      </c>
    </row>
    <row r="30" spans="1:6" ht="15.75" x14ac:dyDescent="0.25">
      <c r="A30" s="35">
        <v>558979</v>
      </c>
      <c r="B30" s="35" t="s">
        <v>150</v>
      </c>
      <c r="C30" s="35" t="s">
        <v>182</v>
      </c>
      <c r="D30" s="35" t="s">
        <v>331</v>
      </c>
      <c r="E30" s="35">
        <v>200</v>
      </c>
      <c r="F30" s="34">
        <v>42655</v>
      </c>
    </row>
    <row r="31" spans="1:6" ht="15.75" x14ac:dyDescent="0.25">
      <c r="A31" s="35">
        <v>558979</v>
      </c>
      <c r="B31" s="35" t="s">
        <v>150</v>
      </c>
      <c r="C31" s="35" t="s">
        <v>232</v>
      </c>
      <c r="D31" s="35" t="s">
        <v>332</v>
      </c>
      <c r="E31" s="35">
        <v>200</v>
      </c>
      <c r="F31" s="34">
        <v>42655</v>
      </c>
    </row>
    <row r="32" spans="1:6" ht="15.75" x14ac:dyDescent="0.25">
      <c r="A32" s="35">
        <v>558979</v>
      </c>
      <c r="B32" s="35" t="s">
        <v>150</v>
      </c>
      <c r="C32" s="35" t="s">
        <v>184</v>
      </c>
      <c r="D32" s="35" t="s">
        <v>333</v>
      </c>
      <c r="E32" s="35">
        <v>200</v>
      </c>
      <c r="F32" s="34">
        <v>42655</v>
      </c>
    </row>
    <row r="33" spans="1:6" ht="15.75" x14ac:dyDescent="0.25">
      <c r="A33" s="35">
        <v>558979</v>
      </c>
      <c r="B33" s="35" t="s">
        <v>150</v>
      </c>
      <c r="C33" s="35" t="s">
        <v>188</v>
      </c>
      <c r="D33" s="35" t="s">
        <v>334</v>
      </c>
      <c r="E33" s="35">
        <v>225</v>
      </c>
      <c r="F33" s="34">
        <v>42655</v>
      </c>
    </row>
    <row r="34" spans="1:6" ht="15.75" x14ac:dyDescent="0.25">
      <c r="A34" s="35">
        <v>558979</v>
      </c>
      <c r="B34" s="35" t="s">
        <v>150</v>
      </c>
      <c r="C34" s="35" t="s">
        <v>190</v>
      </c>
      <c r="D34" s="35" t="s">
        <v>335</v>
      </c>
      <c r="E34" s="35">
        <v>400</v>
      </c>
      <c r="F34" s="34">
        <v>42655</v>
      </c>
    </row>
    <row r="35" spans="1:6" ht="15.75" x14ac:dyDescent="0.25">
      <c r="A35" s="35">
        <v>558979</v>
      </c>
      <c r="B35" s="35" t="s">
        <v>150</v>
      </c>
      <c r="C35" s="35" t="s">
        <v>163</v>
      </c>
      <c r="D35" s="35" t="s">
        <v>336</v>
      </c>
      <c r="E35" s="35">
        <v>650</v>
      </c>
      <c r="F35" s="34">
        <v>42655</v>
      </c>
    </row>
    <row r="36" spans="1:6" ht="15.75" x14ac:dyDescent="0.25">
      <c r="A36" s="35">
        <v>487110</v>
      </c>
      <c r="B36" s="35" t="s">
        <v>36</v>
      </c>
      <c r="C36" s="35" t="s">
        <v>337</v>
      </c>
      <c r="D36" s="35" t="s">
        <v>338</v>
      </c>
      <c r="E36" s="35">
        <v>7971.61</v>
      </c>
      <c r="F36" s="34">
        <v>42656</v>
      </c>
    </row>
    <row r="37" spans="1:6" ht="15.75" x14ac:dyDescent="0.25">
      <c r="A37" s="35">
        <v>487110</v>
      </c>
      <c r="B37" s="35" t="s">
        <v>36</v>
      </c>
      <c r="C37" s="35" t="s">
        <v>339</v>
      </c>
      <c r="D37" s="35" t="s">
        <v>340</v>
      </c>
      <c r="E37" s="35">
        <v>471.1</v>
      </c>
      <c r="F37" s="34">
        <v>42661</v>
      </c>
    </row>
    <row r="38" spans="1:6" ht="15.75" x14ac:dyDescent="0.25">
      <c r="A38" s="35">
        <v>526712</v>
      </c>
      <c r="B38" s="35" t="s">
        <v>14</v>
      </c>
      <c r="C38" s="35" t="s">
        <v>163</v>
      </c>
      <c r="D38" s="35" t="s">
        <v>341</v>
      </c>
      <c r="E38" s="35">
        <v>32.64</v>
      </c>
      <c r="F38" s="34">
        <v>42662</v>
      </c>
    </row>
    <row r="39" spans="1:6" ht="15.75" x14ac:dyDescent="0.25">
      <c r="A39" s="35">
        <v>526712</v>
      </c>
      <c r="B39" s="35" t="s">
        <v>14</v>
      </c>
      <c r="C39" s="35" t="s">
        <v>342</v>
      </c>
      <c r="D39" s="35" t="s">
        <v>343</v>
      </c>
      <c r="E39" s="35">
        <v>47.6</v>
      </c>
      <c r="F39" s="34">
        <v>42662</v>
      </c>
    </row>
    <row r="40" spans="1:6" ht="15.75" x14ac:dyDescent="0.25">
      <c r="A40" s="35">
        <v>526712</v>
      </c>
      <c r="B40" s="35" t="s">
        <v>14</v>
      </c>
      <c r="C40" s="35" t="s">
        <v>344</v>
      </c>
      <c r="D40" s="35" t="s">
        <v>345</v>
      </c>
      <c r="E40" s="35">
        <v>110.84</v>
      </c>
      <c r="F40" s="34">
        <v>42662</v>
      </c>
    </row>
    <row r="41" spans="1:6" ht="15.75" x14ac:dyDescent="0.25">
      <c r="A41" s="35">
        <v>526712</v>
      </c>
      <c r="B41" s="35" t="s">
        <v>14</v>
      </c>
      <c r="C41" s="35" t="s">
        <v>188</v>
      </c>
      <c r="D41" s="35" t="s">
        <v>346</v>
      </c>
      <c r="E41" s="35">
        <v>110.84</v>
      </c>
      <c r="F41" s="34">
        <v>42662</v>
      </c>
    </row>
    <row r="42" spans="1:6" ht="15.75" x14ac:dyDescent="0.25">
      <c r="A42" s="35">
        <v>526712</v>
      </c>
      <c r="B42" s="35" t="s">
        <v>14</v>
      </c>
      <c r="C42" s="35" t="s">
        <v>232</v>
      </c>
      <c r="D42" s="35" t="s">
        <v>347</v>
      </c>
      <c r="E42" s="35">
        <v>113.56</v>
      </c>
      <c r="F42" s="34">
        <v>42662</v>
      </c>
    </row>
    <row r="43" spans="1:6" ht="15.75" x14ac:dyDescent="0.25">
      <c r="A43" s="35">
        <v>522928</v>
      </c>
      <c r="B43" s="35" t="s">
        <v>211</v>
      </c>
      <c r="C43" s="35" t="s">
        <v>209</v>
      </c>
      <c r="D43" s="35">
        <v>2000002317</v>
      </c>
      <c r="E43" s="35">
        <v>0</v>
      </c>
      <c r="F43" s="34">
        <v>42663</v>
      </c>
    </row>
    <row r="44" spans="1:6" ht="15.75" x14ac:dyDescent="0.25">
      <c r="A44" s="35">
        <v>522928</v>
      </c>
      <c r="B44" s="35" t="s">
        <v>211</v>
      </c>
      <c r="C44" s="35" t="s">
        <v>209</v>
      </c>
      <c r="D44" s="35">
        <v>2000002317</v>
      </c>
      <c r="E44" s="35">
        <v>0</v>
      </c>
      <c r="F44" s="34">
        <v>42663</v>
      </c>
    </row>
    <row r="45" spans="1:6" ht="15.75" x14ac:dyDescent="0.25">
      <c r="A45" s="35">
        <v>527420</v>
      </c>
      <c r="B45" s="35" t="s">
        <v>212</v>
      </c>
      <c r="C45" s="35" t="s">
        <v>209</v>
      </c>
      <c r="D45" s="35">
        <v>2000002317</v>
      </c>
      <c r="E45" s="35">
        <v>0</v>
      </c>
      <c r="F45" s="34">
        <v>42663</v>
      </c>
    </row>
    <row r="46" spans="1:6" ht="15.75" x14ac:dyDescent="0.25">
      <c r="A46" s="35">
        <v>531110</v>
      </c>
      <c r="B46" s="35" t="s">
        <v>27</v>
      </c>
      <c r="C46" s="35" t="s">
        <v>142</v>
      </c>
      <c r="D46" s="35">
        <v>2000002200</v>
      </c>
      <c r="E46" s="35">
        <v>0</v>
      </c>
      <c r="F46" s="34">
        <v>42663</v>
      </c>
    </row>
    <row r="47" spans="1:6" ht="15.75" x14ac:dyDescent="0.25">
      <c r="A47" s="35">
        <v>531110</v>
      </c>
      <c r="B47" s="35" t="s">
        <v>27</v>
      </c>
      <c r="C47" s="35" t="s">
        <v>142</v>
      </c>
      <c r="D47" s="35">
        <v>2000002201</v>
      </c>
      <c r="E47" s="35">
        <v>0</v>
      </c>
      <c r="F47" s="34">
        <v>42663</v>
      </c>
    </row>
    <row r="48" spans="1:6" ht="15.75" x14ac:dyDescent="0.25">
      <c r="A48" s="35">
        <v>531110</v>
      </c>
      <c r="B48" s="35" t="s">
        <v>27</v>
      </c>
      <c r="C48" s="35" t="s">
        <v>209</v>
      </c>
      <c r="D48" s="35">
        <v>2000002317</v>
      </c>
      <c r="E48" s="35">
        <v>0</v>
      </c>
      <c r="F48" s="34">
        <v>42663</v>
      </c>
    </row>
    <row r="49" spans="1:6" ht="15.75" x14ac:dyDescent="0.25">
      <c r="A49" s="35">
        <v>531110</v>
      </c>
      <c r="B49" s="35" t="s">
        <v>27</v>
      </c>
      <c r="C49" s="35" t="s">
        <v>142</v>
      </c>
      <c r="D49" s="35">
        <v>2000002200</v>
      </c>
      <c r="E49" s="35">
        <v>0</v>
      </c>
      <c r="F49" s="34">
        <v>42663</v>
      </c>
    </row>
    <row r="50" spans="1:6" ht="15.75" x14ac:dyDescent="0.25">
      <c r="A50" s="35">
        <v>538110</v>
      </c>
      <c r="B50" s="35" t="s">
        <v>210</v>
      </c>
      <c r="C50" s="35" t="s">
        <v>209</v>
      </c>
      <c r="D50" s="35">
        <v>2000002317</v>
      </c>
      <c r="E50" s="35">
        <v>0</v>
      </c>
      <c r="F50" s="34">
        <v>42663</v>
      </c>
    </row>
    <row r="51" spans="1:6" ht="15.75" x14ac:dyDescent="0.25">
      <c r="A51" s="35">
        <v>522928</v>
      </c>
      <c r="B51" s="35" t="s">
        <v>211</v>
      </c>
      <c r="C51" s="35" t="s">
        <v>209</v>
      </c>
      <c r="D51" s="35">
        <v>2000002317</v>
      </c>
      <c r="E51" s="35">
        <v>15</v>
      </c>
      <c r="F51" s="34">
        <v>42663</v>
      </c>
    </row>
    <row r="52" spans="1:6" ht="15.75" x14ac:dyDescent="0.25">
      <c r="A52" s="35">
        <v>527420</v>
      </c>
      <c r="B52" s="35" t="s">
        <v>212</v>
      </c>
      <c r="C52" s="35" t="s">
        <v>209</v>
      </c>
      <c r="D52" s="35">
        <v>2000002317</v>
      </c>
      <c r="E52" s="35">
        <v>18.13</v>
      </c>
      <c r="F52" s="34">
        <v>42663</v>
      </c>
    </row>
    <row r="53" spans="1:6" ht="15.75" x14ac:dyDescent="0.25">
      <c r="A53" s="35">
        <v>531110</v>
      </c>
      <c r="B53" s="35" t="s">
        <v>27</v>
      </c>
      <c r="C53" s="35" t="s">
        <v>142</v>
      </c>
      <c r="D53" s="35">
        <v>2000002201</v>
      </c>
      <c r="E53" s="35">
        <v>29</v>
      </c>
      <c r="F53" s="34">
        <v>42663</v>
      </c>
    </row>
    <row r="54" spans="1:6" ht="15.75" x14ac:dyDescent="0.25">
      <c r="A54" s="35">
        <v>531110</v>
      </c>
      <c r="B54" s="35" t="s">
        <v>27</v>
      </c>
      <c r="C54" s="35" t="s">
        <v>142</v>
      </c>
      <c r="D54" s="35">
        <v>2000002200</v>
      </c>
      <c r="E54" s="35">
        <v>29</v>
      </c>
      <c r="F54" s="34">
        <v>42663</v>
      </c>
    </row>
    <row r="55" spans="1:6" ht="15.75" x14ac:dyDescent="0.25">
      <c r="A55" s="35">
        <v>531110</v>
      </c>
      <c r="B55" s="35" t="s">
        <v>27</v>
      </c>
      <c r="C55" s="35" t="s">
        <v>142</v>
      </c>
      <c r="D55" s="35">
        <v>2000002200</v>
      </c>
      <c r="E55" s="35">
        <v>29</v>
      </c>
      <c r="F55" s="34">
        <v>42663</v>
      </c>
    </row>
    <row r="56" spans="1:6" ht="15.75" x14ac:dyDescent="0.25">
      <c r="A56" s="35">
        <v>522928</v>
      </c>
      <c r="B56" s="35" t="s">
        <v>211</v>
      </c>
      <c r="C56" s="35" t="s">
        <v>209</v>
      </c>
      <c r="D56" s="35">
        <v>2000002317</v>
      </c>
      <c r="E56" s="35">
        <v>35</v>
      </c>
      <c r="F56" s="34">
        <v>42663</v>
      </c>
    </row>
    <row r="57" spans="1:6" ht="15.75" x14ac:dyDescent="0.25">
      <c r="A57" s="35">
        <v>538110</v>
      </c>
      <c r="B57" s="35" t="s">
        <v>210</v>
      </c>
      <c r="C57" s="35" t="s">
        <v>209</v>
      </c>
      <c r="D57" s="35">
        <v>2000002317</v>
      </c>
      <c r="E57" s="35">
        <v>207</v>
      </c>
      <c r="F57" s="34">
        <v>42663</v>
      </c>
    </row>
    <row r="58" spans="1:6" ht="15.75" x14ac:dyDescent="0.25">
      <c r="A58" s="35">
        <v>531110</v>
      </c>
      <c r="B58" s="35" t="s">
        <v>27</v>
      </c>
      <c r="C58" s="35" t="s">
        <v>209</v>
      </c>
      <c r="D58" s="35">
        <v>2000002317</v>
      </c>
      <c r="E58" s="35">
        <v>240</v>
      </c>
      <c r="F58" s="34">
        <v>42663</v>
      </c>
    </row>
    <row r="59" spans="1:6" ht="15.75" x14ac:dyDescent="0.25">
      <c r="A59" s="35">
        <v>522928</v>
      </c>
      <c r="B59" s="35" t="s">
        <v>211</v>
      </c>
      <c r="C59" s="35"/>
      <c r="D59" s="35">
        <v>1000002602</v>
      </c>
      <c r="E59" s="35">
        <v>0</v>
      </c>
      <c r="F59" s="34">
        <v>42664</v>
      </c>
    </row>
    <row r="60" spans="1:6" ht="15.75" x14ac:dyDescent="0.25">
      <c r="A60" s="35">
        <v>522928</v>
      </c>
      <c r="B60" s="35" t="s">
        <v>211</v>
      </c>
      <c r="C60" s="35"/>
      <c r="D60" s="35">
        <v>1000002602</v>
      </c>
      <c r="E60" s="35">
        <v>0</v>
      </c>
      <c r="F60" s="34">
        <v>42664</v>
      </c>
    </row>
    <row r="61" spans="1:6" ht="15.75" x14ac:dyDescent="0.25">
      <c r="A61" s="35">
        <v>527420</v>
      </c>
      <c r="B61" s="35" t="s">
        <v>212</v>
      </c>
      <c r="C61" s="35"/>
      <c r="D61" s="35">
        <v>1000002602</v>
      </c>
      <c r="E61" s="35">
        <v>0</v>
      </c>
      <c r="F61" s="34">
        <v>42664</v>
      </c>
    </row>
    <row r="62" spans="1:6" ht="15.75" x14ac:dyDescent="0.25">
      <c r="A62" s="35">
        <v>531110</v>
      </c>
      <c r="B62" s="35" t="s">
        <v>27</v>
      </c>
      <c r="C62" s="35"/>
      <c r="D62" s="35">
        <v>1000002476</v>
      </c>
      <c r="E62" s="35">
        <v>0</v>
      </c>
      <c r="F62" s="34">
        <v>42664</v>
      </c>
    </row>
    <row r="63" spans="1:6" ht="15.75" x14ac:dyDescent="0.25">
      <c r="A63" s="35">
        <v>531110</v>
      </c>
      <c r="B63" s="35" t="s">
        <v>27</v>
      </c>
      <c r="C63" s="35"/>
      <c r="D63" s="35">
        <v>1000002476</v>
      </c>
      <c r="E63" s="35">
        <v>0</v>
      </c>
      <c r="F63" s="34">
        <v>42664</v>
      </c>
    </row>
    <row r="64" spans="1:6" ht="15.75" x14ac:dyDescent="0.25">
      <c r="A64" s="35">
        <v>531110</v>
      </c>
      <c r="B64" s="35" t="s">
        <v>27</v>
      </c>
      <c r="C64" s="35"/>
      <c r="D64" s="35">
        <v>1000002602</v>
      </c>
      <c r="E64" s="35">
        <v>0</v>
      </c>
      <c r="F64" s="34">
        <v>42664</v>
      </c>
    </row>
    <row r="65" spans="1:6" ht="15.75" x14ac:dyDescent="0.25">
      <c r="A65" s="35">
        <v>531110</v>
      </c>
      <c r="B65" s="35" t="s">
        <v>27</v>
      </c>
      <c r="C65" s="35"/>
      <c r="D65" s="35">
        <v>1000002475</v>
      </c>
      <c r="E65" s="35">
        <v>0</v>
      </c>
      <c r="F65" s="34">
        <v>42664</v>
      </c>
    </row>
    <row r="66" spans="1:6" ht="15.75" x14ac:dyDescent="0.25">
      <c r="A66" s="35">
        <v>538110</v>
      </c>
      <c r="B66" s="35" t="s">
        <v>210</v>
      </c>
      <c r="C66" s="35"/>
      <c r="D66" s="35">
        <v>1000002602</v>
      </c>
      <c r="E66" s="35">
        <v>0</v>
      </c>
      <c r="F66" s="34">
        <v>42664</v>
      </c>
    </row>
    <row r="67" spans="1:6" ht="15.75" x14ac:dyDescent="0.25">
      <c r="A67" s="35">
        <v>522928</v>
      </c>
      <c r="B67" s="35" t="s">
        <v>211</v>
      </c>
      <c r="C67" s="35"/>
      <c r="D67" s="35">
        <v>1000002602</v>
      </c>
      <c r="E67" s="35">
        <v>15</v>
      </c>
      <c r="F67" s="34">
        <v>42664</v>
      </c>
    </row>
    <row r="68" spans="1:6" ht="15.75" x14ac:dyDescent="0.25">
      <c r="A68" s="35">
        <v>527420</v>
      </c>
      <c r="B68" s="35" t="s">
        <v>212</v>
      </c>
      <c r="C68" s="35"/>
      <c r="D68" s="35">
        <v>1000002602</v>
      </c>
      <c r="E68" s="35">
        <v>18.13</v>
      </c>
      <c r="F68" s="34">
        <v>42664</v>
      </c>
    </row>
    <row r="69" spans="1:6" ht="15.75" x14ac:dyDescent="0.25">
      <c r="A69" s="35">
        <v>531110</v>
      </c>
      <c r="B69" s="35" t="s">
        <v>27</v>
      </c>
      <c r="C69" s="35"/>
      <c r="D69" s="35">
        <v>1000002475</v>
      </c>
      <c r="E69" s="35">
        <v>29</v>
      </c>
      <c r="F69" s="34">
        <v>42664</v>
      </c>
    </row>
    <row r="70" spans="1:6" ht="15.75" x14ac:dyDescent="0.25">
      <c r="A70" s="35">
        <v>531110</v>
      </c>
      <c r="B70" s="35" t="s">
        <v>27</v>
      </c>
      <c r="C70" s="35"/>
      <c r="D70" s="35">
        <v>1000002476</v>
      </c>
      <c r="E70" s="35">
        <v>29</v>
      </c>
      <c r="F70" s="34">
        <v>42664</v>
      </c>
    </row>
    <row r="71" spans="1:6" ht="15.75" x14ac:dyDescent="0.25">
      <c r="A71" s="35">
        <v>531110</v>
      </c>
      <c r="B71" s="35" t="s">
        <v>27</v>
      </c>
      <c r="C71" s="35"/>
      <c r="D71" s="35">
        <v>1000002476</v>
      </c>
      <c r="E71" s="35">
        <v>29</v>
      </c>
      <c r="F71" s="34">
        <v>42664</v>
      </c>
    </row>
    <row r="72" spans="1:6" ht="15.75" x14ac:dyDescent="0.25">
      <c r="A72" s="35">
        <v>522928</v>
      </c>
      <c r="B72" s="35" t="s">
        <v>211</v>
      </c>
      <c r="C72" s="35"/>
      <c r="D72" s="35">
        <v>1000002602</v>
      </c>
      <c r="E72" s="35">
        <v>35</v>
      </c>
      <c r="F72" s="34">
        <v>42664</v>
      </c>
    </row>
    <row r="73" spans="1:6" ht="15.75" x14ac:dyDescent="0.25">
      <c r="A73" s="35">
        <v>538110</v>
      </c>
      <c r="B73" s="35" t="s">
        <v>210</v>
      </c>
      <c r="C73" s="35"/>
      <c r="D73" s="35">
        <v>1000002602</v>
      </c>
      <c r="E73" s="35">
        <v>207</v>
      </c>
      <c r="F73" s="34">
        <v>42664</v>
      </c>
    </row>
    <row r="74" spans="1:6" ht="15.75" x14ac:dyDescent="0.25">
      <c r="A74" s="35">
        <v>531110</v>
      </c>
      <c r="B74" s="35" t="s">
        <v>27</v>
      </c>
      <c r="C74" s="35"/>
      <c r="D74" s="35">
        <v>1000002602</v>
      </c>
      <c r="E74" s="35">
        <v>240</v>
      </c>
      <c r="F74" s="34">
        <v>42664</v>
      </c>
    </row>
    <row r="75" spans="1:6" ht="15.75" x14ac:dyDescent="0.25">
      <c r="A75" s="35">
        <v>587890</v>
      </c>
      <c r="B75" s="35" t="s">
        <v>32</v>
      </c>
      <c r="C75" s="35" t="s">
        <v>348</v>
      </c>
      <c r="D75" s="35" t="s">
        <v>349</v>
      </c>
      <c r="E75" s="35">
        <v>1000</v>
      </c>
      <c r="F75" s="34">
        <v>42664</v>
      </c>
    </row>
    <row r="76" spans="1:6" ht="15.75" x14ac:dyDescent="0.25">
      <c r="A76" s="35">
        <v>587890</v>
      </c>
      <c r="B76" s="35" t="s">
        <v>32</v>
      </c>
      <c r="C76" s="35" t="s">
        <v>350</v>
      </c>
      <c r="D76" s="35" t="s">
        <v>351</v>
      </c>
      <c r="E76" s="35">
        <v>1179</v>
      </c>
      <c r="F76" s="34">
        <v>42664</v>
      </c>
    </row>
    <row r="77" spans="1:6" ht="15.75" x14ac:dyDescent="0.25">
      <c r="A77" s="35">
        <v>587890</v>
      </c>
      <c r="B77" s="35" t="s">
        <v>32</v>
      </c>
      <c r="C77" s="35" t="s">
        <v>350</v>
      </c>
      <c r="D77" s="35" t="s">
        <v>352</v>
      </c>
      <c r="E77" s="35">
        <v>1200</v>
      </c>
      <c r="F77" s="34">
        <v>42664</v>
      </c>
    </row>
    <row r="78" spans="1:6" ht="15.75" x14ac:dyDescent="0.25">
      <c r="A78" s="35">
        <v>527120</v>
      </c>
      <c r="B78" s="35" t="s">
        <v>143</v>
      </c>
      <c r="C78" s="35" t="s">
        <v>144</v>
      </c>
      <c r="D78" s="35" t="s">
        <v>353</v>
      </c>
      <c r="E78" s="35">
        <v>5.04</v>
      </c>
      <c r="F78" s="34">
        <v>42667</v>
      </c>
    </row>
    <row r="79" spans="1:6" ht="15.75" x14ac:dyDescent="0.25">
      <c r="A79" s="35">
        <v>527120</v>
      </c>
      <c r="B79" s="35" t="s">
        <v>143</v>
      </c>
      <c r="C79" s="35" t="s">
        <v>144</v>
      </c>
      <c r="D79" s="35" t="s">
        <v>353</v>
      </c>
      <c r="E79" s="35">
        <v>19.54</v>
      </c>
      <c r="F79" s="34">
        <v>42667</v>
      </c>
    </row>
    <row r="80" spans="1:6" ht="15.75" x14ac:dyDescent="0.25">
      <c r="A80" s="35">
        <v>526712</v>
      </c>
      <c r="B80" s="35" t="s">
        <v>14</v>
      </c>
      <c r="C80" s="35" t="s">
        <v>281</v>
      </c>
      <c r="D80" s="35" t="s">
        <v>354</v>
      </c>
      <c r="E80" s="35">
        <v>27</v>
      </c>
      <c r="F80" s="34">
        <v>42668</v>
      </c>
    </row>
    <row r="81" spans="1:6" ht="15.75" x14ac:dyDescent="0.25">
      <c r="A81" s="35">
        <v>526712</v>
      </c>
      <c r="B81" s="35" t="s">
        <v>14</v>
      </c>
      <c r="C81" s="35" t="s">
        <v>355</v>
      </c>
      <c r="D81" s="35" t="s">
        <v>356</v>
      </c>
      <c r="E81" s="35">
        <v>59.16</v>
      </c>
      <c r="F81" s="34">
        <v>42668</v>
      </c>
    </row>
    <row r="82" spans="1:6" ht="15.75" x14ac:dyDescent="0.25">
      <c r="A82" s="35">
        <v>526741</v>
      </c>
      <c r="B82" s="35" t="s">
        <v>23</v>
      </c>
      <c r="C82" s="35" t="s">
        <v>178</v>
      </c>
      <c r="D82" s="35" t="s">
        <v>357</v>
      </c>
      <c r="E82" s="35">
        <v>578.85</v>
      </c>
      <c r="F82" s="34">
        <v>42668</v>
      </c>
    </row>
    <row r="83" spans="1:6" ht="15.75" x14ac:dyDescent="0.25">
      <c r="A83" s="35">
        <v>587890</v>
      </c>
      <c r="B83" s="35" t="s">
        <v>32</v>
      </c>
      <c r="C83" s="35" t="s">
        <v>358</v>
      </c>
      <c r="D83" s="35" t="s">
        <v>359</v>
      </c>
      <c r="E83" s="35">
        <v>1475</v>
      </c>
      <c r="F83" s="34">
        <v>42668</v>
      </c>
    </row>
    <row r="84" spans="1:6" ht="15.75" x14ac:dyDescent="0.25">
      <c r="A84" s="35">
        <v>526120</v>
      </c>
      <c r="B84" s="35" t="s">
        <v>217</v>
      </c>
      <c r="C84" s="35" t="s">
        <v>178</v>
      </c>
      <c r="D84" s="35" t="s">
        <v>360</v>
      </c>
      <c r="E84" s="35">
        <v>39.44</v>
      </c>
      <c r="F84" s="34">
        <v>42674</v>
      </c>
    </row>
    <row r="85" spans="1:6" ht="15.75" x14ac:dyDescent="0.25">
      <c r="A85" s="35">
        <v>528310</v>
      </c>
      <c r="B85" s="35" t="s">
        <v>361</v>
      </c>
      <c r="C85" s="35" t="s">
        <v>178</v>
      </c>
      <c r="D85" s="35" t="s">
        <v>360</v>
      </c>
      <c r="E85" s="35">
        <v>65</v>
      </c>
      <c r="F85" s="34">
        <v>42674</v>
      </c>
    </row>
    <row r="86" spans="1:6" ht="15.75" x14ac:dyDescent="0.25">
      <c r="A86" s="35">
        <v>515130</v>
      </c>
      <c r="B86" s="35" t="s">
        <v>10</v>
      </c>
      <c r="C86" s="35" t="s">
        <v>165</v>
      </c>
      <c r="D86" s="35" t="s">
        <v>362</v>
      </c>
      <c r="E86" s="35">
        <v>105.54</v>
      </c>
      <c r="F86" s="34">
        <v>42674</v>
      </c>
    </row>
    <row r="87" spans="1:6" ht="15.75" x14ac:dyDescent="0.25">
      <c r="A87" s="35">
        <v>515420</v>
      </c>
      <c r="B87" s="35" t="s">
        <v>12</v>
      </c>
      <c r="C87" s="35" t="s">
        <v>165</v>
      </c>
      <c r="D87" s="35" t="s">
        <v>362</v>
      </c>
      <c r="E87" s="35">
        <v>413.62</v>
      </c>
      <c r="F87" s="34">
        <v>42674</v>
      </c>
    </row>
    <row r="88" spans="1:6" ht="15.75" x14ac:dyDescent="0.25">
      <c r="A88" s="35">
        <v>514910</v>
      </c>
      <c r="B88" s="35" t="s">
        <v>363</v>
      </c>
      <c r="C88" s="35" t="s">
        <v>165</v>
      </c>
      <c r="D88" s="35" t="s">
        <v>362</v>
      </c>
      <c r="E88" s="35">
        <v>415</v>
      </c>
      <c r="F88" s="34">
        <v>42674</v>
      </c>
    </row>
    <row r="89" spans="1:6" ht="15.75" x14ac:dyDescent="0.25">
      <c r="A89" s="35">
        <v>515120</v>
      </c>
      <c r="B89" s="35" t="s">
        <v>9</v>
      </c>
      <c r="C89" s="35" t="s">
        <v>165</v>
      </c>
      <c r="D89" s="35" t="s">
        <v>362</v>
      </c>
      <c r="E89" s="35">
        <v>451.28</v>
      </c>
      <c r="F89" s="34">
        <v>42674</v>
      </c>
    </row>
    <row r="90" spans="1:6" ht="15.75" x14ac:dyDescent="0.25">
      <c r="A90" s="35">
        <v>515530</v>
      </c>
      <c r="B90" s="35" t="s">
        <v>13</v>
      </c>
      <c r="C90" s="35" t="s">
        <v>165</v>
      </c>
      <c r="D90" s="35" t="s">
        <v>362</v>
      </c>
      <c r="E90" s="35">
        <v>463.68</v>
      </c>
      <c r="F90" s="34">
        <v>42674</v>
      </c>
    </row>
    <row r="91" spans="1:6" ht="15.75" x14ac:dyDescent="0.25">
      <c r="A91" s="35">
        <v>515410</v>
      </c>
      <c r="B91" s="35" t="s">
        <v>11</v>
      </c>
      <c r="C91" s="35" t="s">
        <v>165</v>
      </c>
      <c r="D91" s="35" t="s">
        <v>362</v>
      </c>
      <c r="E91" s="35">
        <v>473.1</v>
      </c>
      <c r="F91" s="34">
        <v>42674</v>
      </c>
    </row>
    <row r="92" spans="1:6" ht="15.75" x14ac:dyDescent="0.25">
      <c r="A92" s="35">
        <v>526742</v>
      </c>
      <c r="B92" s="35" t="s">
        <v>26</v>
      </c>
      <c r="C92" s="35" t="s">
        <v>364</v>
      </c>
      <c r="D92" s="35" t="s">
        <v>365</v>
      </c>
      <c r="E92" s="35">
        <v>579.6</v>
      </c>
      <c r="F92" s="34">
        <v>42674</v>
      </c>
    </row>
    <row r="93" spans="1:6" ht="15.75" x14ac:dyDescent="0.25">
      <c r="A93" s="35">
        <v>511120</v>
      </c>
      <c r="B93" s="35" t="s">
        <v>6</v>
      </c>
      <c r="C93" s="35" t="s">
        <v>165</v>
      </c>
      <c r="D93" s="35" t="s">
        <v>362</v>
      </c>
      <c r="E93" s="35">
        <v>6916.67</v>
      </c>
      <c r="F93" s="34">
        <v>42674</v>
      </c>
    </row>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9AC4A-52C5-424A-BC57-626A8577EF48}">
  <dimension ref="A1:F77"/>
  <sheetViews>
    <sheetView workbookViewId="0">
      <selection activeCell="B16" sqref="B16"/>
    </sheetView>
  </sheetViews>
  <sheetFormatPr defaultRowHeight="15" x14ac:dyDescent="0.25"/>
  <cols>
    <col min="1" max="1" width="14.5703125" style="36" customWidth="1"/>
    <col min="2" max="6" width="35.7109375" style="36" customWidth="1"/>
    <col min="7" max="16384" width="9.140625" style="36"/>
  </cols>
  <sheetData>
    <row r="1" spans="1:6" ht="16.5" x14ac:dyDescent="0.3">
      <c r="A1" s="90" t="s">
        <v>0</v>
      </c>
      <c r="B1" s="91" t="s">
        <v>1</v>
      </c>
      <c r="C1" s="91" t="s">
        <v>2</v>
      </c>
      <c r="D1" s="91" t="s">
        <v>3</v>
      </c>
      <c r="E1" s="91" t="s">
        <v>4</v>
      </c>
      <c r="F1" s="92" t="s">
        <v>5</v>
      </c>
    </row>
    <row r="2" spans="1:6" ht="15.75" x14ac:dyDescent="0.25">
      <c r="A2" s="35">
        <v>558979</v>
      </c>
      <c r="B2" s="35" t="s">
        <v>150</v>
      </c>
      <c r="C2" s="35" t="s">
        <v>184</v>
      </c>
      <c r="D2" s="35" t="s">
        <v>226</v>
      </c>
      <c r="E2" s="35">
        <v>200</v>
      </c>
      <c r="F2" s="34">
        <v>42620</v>
      </c>
    </row>
    <row r="3" spans="1:6" ht="15.75" x14ac:dyDescent="0.25">
      <c r="A3" s="35">
        <v>558979</v>
      </c>
      <c r="B3" s="35" t="s">
        <v>150</v>
      </c>
      <c r="C3" s="35" t="s">
        <v>186</v>
      </c>
      <c r="D3" s="35" t="s">
        <v>227</v>
      </c>
      <c r="E3" s="35">
        <v>200</v>
      </c>
      <c r="F3" s="34">
        <v>42620</v>
      </c>
    </row>
    <row r="4" spans="1:6" ht="15.75" x14ac:dyDescent="0.25">
      <c r="A4" s="35">
        <v>558979</v>
      </c>
      <c r="B4" s="35" t="s">
        <v>150</v>
      </c>
      <c r="C4" s="35" t="s">
        <v>182</v>
      </c>
      <c r="D4" s="35" t="s">
        <v>228</v>
      </c>
      <c r="E4" s="35">
        <v>200</v>
      </c>
      <c r="F4" s="34">
        <v>42620</v>
      </c>
    </row>
    <row r="5" spans="1:6" ht="15.75" x14ac:dyDescent="0.25">
      <c r="A5" s="35">
        <v>558979</v>
      </c>
      <c r="B5" s="35" t="s">
        <v>150</v>
      </c>
      <c r="C5" s="35" t="s">
        <v>188</v>
      </c>
      <c r="D5" s="35" t="s">
        <v>229</v>
      </c>
      <c r="E5" s="35">
        <v>225</v>
      </c>
      <c r="F5" s="34">
        <v>42620</v>
      </c>
    </row>
    <row r="6" spans="1:6" ht="15.75" x14ac:dyDescent="0.25">
      <c r="A6" s="35">
        <v>558979</v>
      </c>
      <c r="B6" s="35" t="s">
        <v>150</v>
      </c>
      <c r="C6" s="35" t="s">
        <v>190</v>
      </c>
      <c r="D6" s="35" t="s">
        <v>230</v>
      </c>
      <c r="E6" s="35">
        <v>400</v>
      </c>
      <c r="F6" s="34">
        <v>42620</v>
      </c>
    </row>
    <row r="7" spans="1:6" ht="15.75" x14ac:dyDescent="0.25">
      <c r="A7" s="35">
        <v>558979</v>
      </c>
      <c r="B7" s="35" t="s">
        <v>150</v>
      </c>
      <c r="C7" s="35" t="s">
        <v>163</v>
      </c>
      <c r="D7" s="35" t="s">
        <v>231</v>
      </c>
      <c r="E7" s="35">
        <v>650</v>
      </c>
      <c r="F7" s="34">
        <v>42620</v>
      </c>
    </row>
    <row r="8" spans="1:6" ht="15.75" x14ac:dyDescent="0.25">
      <c r="A8" s="35">
        <v>558979</v>
      </c>
      <c r="B8" s="35" t="s">
        <v>150</v>
      </c>
      <c r="C8" s="35" t="s">
        <v>232</v>
      </c>
      <c r="D8" s="35" t="s">
        <v>233</v>
      </c>
      <c r="E8" s="35">
        <v>400</v>
      </c>
      <c r="F8" s="34">
        <v>42622</v>
      </c>
    </row>
    <row r="9" spans="1:6" ht="15.75" x14ac:dyDescent="0.25">
      <c r="A9" s="35">
        <v>487110</v>
      </c>
      <c r="B9" s="35" t="s">
        <v>36</v>
      </c>
      <c r="C9" s="35" t="s">
        <v>234</v>
      </c>
      <c r="D9" s="35" t="s">
        <v>235</v>
      </c>
      <c r="E9" s="35">
        <v>6105.54</v>
      </c>
      <c r="F9" s="34">
        <v>42622</v>
      </c>
    </row>
    <row r="10" spans="1:6" ht="15.75" x14ac:dyDescent="0.25">
      <c r="A10" s="35">
        <v>526712</v>
      </c>
      <c r="B10" s="35" t="s">
        <v>14</v>
      </c>
      <c r="C10" s="35" t="s">
        <v>163</v>
      </c>
      <c r="D10" s="35" t="s">
        <v>236</v>
      </c>
      <c r="E10" s="35">
        <v>30.48</v>
      </c>
      <c r="F10" s="34">
        <v>42626</v>
      </c>
    </row>
    <row r="11" spans="1:6" ht="15.75" x14ac:dyDescent="0.25">
      <c r="A11" s="35">
        <v>526712</v>
      </c>
      <c r="B11" s="35" t="s">
        <v>14</v>
      </c>
      <c r="C11" s="35" t="s">
        <v>174</v>
      </c>
      <c r="D11" s="35" t="s">
        <v>237</v>
      </c>
      <c r="E11" s="35">
        <v>61.88</v>
      </c>
      <c r="F11" s="34">
        <v>42626</v>
      </c>
    </row>
    <row r="12" spans="1:6" ht="15.75" x14ac:dyDescent="0.25">
      <c r="A12" s="35">
        <v>526712</v>
      </c>
      <c r="B12" s="35" t="s">
        <v>14</v>
      </c>
      <c r="C12" s="35" t="s">
        <v>232</v>
      </c>
      <c r="D12" s="35" t="s">
        <v>238</v>
      </c>
      <c r="E12" s="35">
        <v>113.56</v>
      </c>
      <c r="F12" s="34">
        <v>42626</v>
      </c>
    </row>
    <row r="13" spans="1:6" ht="15.75" x14ac:dyDescent="0.25">
      <c r="A13" s="35">
        <v>526712</v>
      </c>
      <c r="B13" s="35" t="s">
        <v>14</v>
      </c>
      <c r="C13" s="35" t="s">
        <v>180</v>
      </c>
      <c r="D13" s="35" t="s">
        <v>239</v>
      </c>
      <c r="E13" s="35">
        <v>133.28</v>
      </c>
      <c r="F13" s="34">
        <v>42626</v>
      </c>
    </row>
    <row r="14" spans="1:6" ht="15.75" x14ac:dyDescent="0.25">
      <c r="A14" s="35">
        <v>487110</v>
      </c>
      <c r="B14" s="35" t="s">
        <v>36</v>
      </c>
      <c r="C14" s="35" t="s">
        <v>240</v>
      </c>
      <c r="D14" s="35" t="s">
        <v>241</v>
      </c>
      <c r="E14" s="35">
        <v>3905.4</v>
      </c>
      <c r="F14" s="34">
        <v>42627</v>
      </c>
    </row>
    <row r="15" spans="1:6" ht="15.75" x14ac:dyDescent="0.25">
      <c r="A15" s="35">
        <v>487110</v>
      </c>
      <c r="B15" s="35" t="s">
        <v>36</v>
      </c>
      <c r="C15" s="35" t="s">
        <v>242</v>
      </c>
      <c r="D15" s="35" t="s">
        <v>243</v>
      </c>
      <c r="E15" s="35">
        <v>51.27</v>
      </c>
      <c r="F15" s="34">
        <v>42629</v>
      </c>
    </row>
    <row r="16" spans="1:6" ht="15.75" x14ac:dyDescent="0.25">
      <c r="A16" s="35">
        <v>487110</v>
      </c>
      <c r="B16" s="35" t="s">
        <v>36</v>
      </c>
      <c r="C16" s="35" t="s">
        <v>244</v>
      </c>
      <c r="D16" s="35" t="s">
        <v>243</v>
      </c>
      <c r="E16" s="35">
        <v>135.24</v>
      </c>
      <c r="F16" s="34">
        <v>42629</v>
      </c>
    </row>
    <row r="17" spans="1:6" ht="15.75" x14ac:dyDescent="0.25">
      <c r="A17" s="35">
        <v>487110</v>
      </c>
      <c r="B17" s="35" t="s">
        <v>36</v>
      </c>
      <c r="C17" s="35" t="s">
        <v>245</v>
      </c>
      <c r="D17" s="35" t="s">
        <v>243</v>
      </c>
      <c r="E17" s="35">
        <v>557.75</v>
      </c>
      <c r="F17" s="34">
        <v>42629</v>
      </c>
    </row>
    <row r="18" spans="1:6" ht="15.75" x14ac:dyDescent="0.25">
      <c r="A18" s="35">
        <v>487110</v>
      </c>
      <c r="B18" s="35" t="s">
        <v>36</v>
      </c>
      <c r="C18" s="35" t="s">
        <v>246</v>
      </c>
      <c r="D18" s="35" t="s">
        <v>247</v>
      </c>
      <c r="E18" s="35">
        <v>10883.3</v>
      </c>
      <c r="F18" s="34">
        <v>42632</v>
      </c>
    </row>
    <row r="19" spans="1:6" ht="15.75" x14ac:dyDescent="0.25">
      <c r="A19" s="35">
        <v>531110</v>
      </c>
      <c r="B19" s="35" t="s">
        <v>27</v>
      </c>
      <c r="C19" s="35" t="s">
        <v>209</v>
      </c>
      <c r="D19" s="35" t="s">
        <v>248</v>
      </c>
      <c r="E19" s="35">
        <v>-240</v>
      </c>
      <c r="F19" s="34">
        <v>42633</v>
      </c>
    </row>
    <row r="20" spans="1:6" ht="15.75" x14ac:dyDescent="0.25">
      <c r="A20" s="35">
        <v>538110</v>
      </c>
      <c r="B20" s="35" t="s">
        <v>210</v>
      </c>
      <c r="C20" s="35" t="s">
        <v>209</v>
      </c>
      <c r="D20" s="35" t="s">
        <v>248</v>
      </c>
      <c r="E20" s="35">
        <v>-207</v>
      </c>
      <c r="F20" s="34">
        <v>42633</v>
      </c>
    </row>
    <row r="21" spans="1:6" ht="15.75" x14ac:dyDescent="0.25">
      <c r="A21" s="35">
        <v>522928</v>
      </c>
      <c r="B21" s="35" t="s">
        <v>211</v>
      </c>
      <c r="C21" s="35" t="s">
        <v>209</v>
      </c>
      <c r="D21" s="35" t="s">
        <v>248</v>
      </c>
      <c r="E21" s="35">
        <v>-35</v>
      </c>
      <c r="F21" s="34">
        <v>42633</v>
      </c>
    </row>
    <row r="22" spans="1:6" ht="15.75" x14ac:dyDescent="0.25">
      <c r="A22" s="35">
        <v>531110</v>
      </c>
      <c r="B22" s="35" t="s">
        <v>27</v>
      </c>
      <c r="C22" s="35" t="s">
        <v>142</v>
      </c>
      <c r="D22" s="35" t="s">
        <v>249</v>
      </c>
      <c r="E22" s="35">
        <v>-29</v>
      </c>
      <c r="F22" s="34">
        <v>42633</v>
      </c>
    </row>
    <row r="23" spans="1:6" ht="15.75" x14ac:dyDescent="0.25">
      <c r="A23" s="35">
        <v>531110</v>
      </c>
      <c r="B23" s="35" t="s">
        <v>27</v>
      </c>
      <c r="C23" s="35" t="s">
        <v>142</v>
      </c>
      <c r="D23" s="35" t="s">
        <v>249</v>
      </c>
      <c r="E23" s="35">
        <v>-29</v>
      </c>
      <c r="F23" s="34">
        <v>42633</v>
      </c>
    </row>
    <row r="24" spans="1:6" ht="15.75" x14ac:dyDescent="0.25">
      <c r="A24" s="35">
        <v>531110</v>
      </c>
      <c r="B24" s="35" t="s">
        <v>27</v>
      </c>
      <c r="C24" s="35" t="s">
        <v>142</v>
      </c>
      <c r="D24" s="35" t="s">
        <v>250</v>
      </c>
      <c r="E24" s="35">
        <v>-29</v>
      </c>
      <c r="F24" s="34">
        <v>42633</v>
      </c>
    </row>
    <row r="25" spans="1:6" ht="15.75" x14ac:dyDescent="0.25">
      <c r="A25" s="35">
        <v>527420</v>
      </c>
      <c r="B25" s="35" t="s">
        <v>212</v>
      </c>
      <c r="C25" s="35" t="s">
        <v>209</v>
      </c>
      <c r="D25" s="35" t="s">
        <v>248</v>
      </c>
      <c r="E25" s="35">
        <v>-18.13</v>
      </c>
      <c r="F25" s="34">
        <v>42633</v>
      </c>
    </row>
    <row r="26" spans="1:6" ht="15.75" x14ac:dyDescent="0.25">
      <c r="A26" s="35">
        <v>522928</v>
      </c>
      <c r="B26" s="35" t="s">
        <v>211</v>
      </c>
      <c r="C26" s="35" t="s">
        <v>209</v>
      </c>
      <c r="D26" s="35" t="s">
        <v>248</v>
      </c>
      <c r="E26" s="35">
        <v>-15</v>
      </c>
      <c r="F26" s="34">
        <v>42633</v>
      </c>
    </row>
    <row r="27" spans="1:6" ht="15.75" x14ac:dyDescent="0.25">
      <c r="A27" s="35">
        <v>522928</v>
      </c>
      <c r="B27" s="35" t="s">
        <v>211</v>
      </c>
      <c r="C27" s="35" t="s">
        <v>209</v>
      </c>
      <c r="D27" s="35" t="s">
        <v>248</v>
      </c>
      <c r="E27" s="35">
        <v>15</v>
      </c>
      <c r="F27" s="34">
        <v>42633</v>
      </c>
    </row>
    <row r="28" spans="1:6" ht="15.75" x14ac:dyDescent="0.25">
      <c r="A28" s="35">
        <v>527420</v>
      </c>
      <c r="B28" s="35" t="s">
        <v>212</v>
      </c>
      <c r="C28" s="35" t="s">
        <v>209</v>
      </c>
      <c r="D28" s="35" t="s">
        <v>248</v>
      </c>
      <c r="E28" s="35">
        <v>18.13</v>
      </c>
      <c r="F28" s="34">
        <v>42633</v>
      </c>
    </row>
    <row r="29" spans="1:6" ht="15.75" x14ac:dyDescent="0.25">
      <c r="A29" s="35">
        <v>531110</v>
      </c>
      <c r="B29" s="35" t="s">
        <v>27</v>
      </c>
      <c r="C29" s="35" t="s">
        <v>142</v>
      </c>
      <c r="D29" s="35" t="s">
        <v>249</v>
      </c>
      <c r="E29" s="35">
        <v>29</v>
      </c>
      <c r="F29" s="34">
        <v>42633</v>
      </c>
    </row>
    <row r="30" spans="1:6" ht="15.75" x14ac:dyDescent="0.25">
      <c r="A30" s="35">
        <v>531110</v>
      </c>
      <c r="B30" s="35" t="s">
        <v>27</v>
      </c>
      <c r="C30" s="35" t="s">
        <v>142</v>
      </c>
      <c r="D30" s="35" t="s">
        <v>249</v>
      </c>
      <c r="E30" s="35">
        <v>29</v>
      </c>
      <c r="F30" s="34">
        <v>42633</v>
      </c>
    </row>
    <row r="31" spans="1:6" ht="15.75" x14ac:dyDescent="0.25">
      <c r="A31" s="35">
        <v>531110</v>
      </c>
      <c r="B31" s="35" t="s">
        <v>27</v>
      </c>
      <c r="C31" s="35" t="s">
        <v>142</v>
      </c>
      <c r="D31" s="35" t="s">
        <v>250</v>
      </c>
      <c r="E31" s="35">
        <v>32.76</v>
      </c>
      <c r="F31" s="34">
        <v>42633</v>
      </c>
    </row>
    <row r="32" spans="1:6" ht="15.75" x14ac:dyDescent="0.25">
      <c r="A32" s="35">
        <v>522928</v>
      </c>
      <c r="B32" s="35" t="s">
        <v>211</v>
      </c>
      <c r="C32" s="35" t="s">
        <v>209</v>
      </c>
      <c r="D32" s="35" t="s">
        <v>248</v>
      </c>
      <c r="E32" s="35">
        <v>35</v>
      </c>
      <c r="F32" s="34">
        <v>42633</v>
      </c>
    </row>
    <row r="33" spans="1:6" ht="15.75" x14ac:dyDescent="0.25">
      <c r="A33" s="35">
        <v>538110</v>
      </c>
      <c r="B33" s="35" t="s">
        <v>210</v>
      </c>
      <c r="C33" s="35" t="s">
        <v>209</v>
      </c>
      <c r="D33" s="35" t="s">
        <v>248</v>
      </c>
      <c r="E33" s="35">
        <v>207</v>
      </c>
      <c r="F33" s="34">
        <v>42633</v>
      </c>
    </row>
    <row r="34" spans="1:6" ht="15.75" x14ac:dyDescent="0.25">
      <c r="A34" s="35">
        <v>531110</v>
      </c>
      <c r="B34" s="35" t="s">
        <v>27</v>
      </c>
      <c r="C34" s="35" t="s">
        <v>209</v>
      </c>
      <c r="D34" s="35" t="s">
        <v>248</v>
      </c>
      <c r="E34" s="35">
        <v>240.01</v>
      </c>
      <c r="F34" s="34">
        <v>42633</v>
      </c>
    </row>
    <row r="35" spans="1:6" ht="15.75" x14ac:dyDescent="0.25">
      <c r="A35" s="35">
        <v>527120</v>
      </c>
      <c r="B35" s="35" t="s">
        <v>143</v>
      </c>
      <c r="C35" s="35" t="s">
        <v>144</v>
      </c>
      <c r="D35" s="35" t="s">
        <v>251</v>
      </c>
      <c r="E35" s="35">
        <v>5.04</v>
      </c>
      <c r="F35" s="34">
        <v>42634</v>
      </c>
    </row>
    <row r="36" spans="1:6" ht="15.75" x14ac:dyDescent="0.25">
      <c r="A36" s="35">
        <v>527120</v>
      </c>
      <c r="B36" s="35" t="s">
        <v>143</v>
      </c>
      <c r="C36" s="35" t="s">
        <v>144</v>
      </c>
      <c r="D36" s="35" t="s">
        <v>251</v>
      </c>
      <c r="E36" s="35">
        <v>5.04</v>
      </c>
      <c r="F36" s="34">
        <v>42634</v>
      </c>
    </row>
    <row r="37" spans="1:6" ht="15.75" x14ac:dyDescent="0.25">
      <c r="A37" s="35">
        <v>527120</v>
      </c>
      <c r="B37" s="35" t="s">
        <v>143</v>
      </c>
      <c r="C37" s="35" t="s">
        <v>144</v>
      </c>
      <c r="D37" s="35" t="s">
        <v>251</v>
      </c>
      <c r="E37" s="35">
        <v>19.54</v>
      </c>
      <c r="F37" s="34">
        <v>42634</v>
      </c>
    </row>
    <row r="38" spans="1:6" ht="15.75" x14ac:dyDescent="0.25">
      <c r="A38" s="35">
        <v>527120</v>
      </c>
      <c r="B38" s="35" t="s">
        <v>143</v>
      </c>
      <c r="C38" s="35" t="s">
        <v>144</v>
      </c>
      <c r="D38" s="35" t="s">
        <v>251</v>
      </c>
      <c r="E38" s="35">
        <v>19.54</v>
      </c>
      <c r="F38" s="34">
        <v>42634</v>
      </c>
    </row>
    <row r="39" spans="1:6" ht="15.75" x14ac:dyDescent="0.25">
      <c r="A39" s="35">
        <v>487110</v>
      </c>
      <c r="B39" s="35" t="s">
        <v>36</v>
      </c>
      <c r="C39" s="35" t="s">
        <v>252</v>
      </c>
      <c r="D39" s="35" t="s">
        <v>253</v>
      </c>
      <c r="E39" s="35">
        <v>1014</v>
      </c>
      <c r="F39" s="34">
        <v>42634</v>
      </c>
    </row>
    <row r="40" spans="1:6" ht="15.75" x14ac:dyDescent="0.25">
      <c r="A40" s="35">
        <v>487110</v>
      </c>
      <c r="B40" s="35" t="s">
        <v>36</v>
      </c>
      <c r="C40" s="35" t="s">
        <v>254</v>
      </c>
      <c r="D40" s="35" t="s">
        <v>255</v>
      </c>
      <c r="E40" s="35">
        <v>2886.28</v>
      </c>
      <c r="F40" s="34">
        <v>42634</v>
      </c>
    </row>
    <row r="41" spans="1:6" ht="15.75" x14ac:dyDescent="0.25">
      <c r="A41" s="35">
        <v>487110</v>
      </c>
      <c r="B41" s="35" t="s">
        <v>36</v>
      </c>
      <c r="C41" s="35" t="s">
        <v>256</v>
      </c>
      <c r="D41" s="35" t="s">
        <v>257</v>
      </c>
      <c r="E41" s="35">
        <v>4133.96</v>
      </c>
      <c r="F41" s="34">
        <v>42635</v>
      </c>
    </row>
    <row r="42" spans="1:6" ht="15.75" x14ac:dyDescent="0.25">
      <c r="A42" s="35">
        <v>527120</v>
      </c>
      <c r="B42" s="35" t="s">
        <v>143</v>
      </c>
      <c r="C42" s="35" t="s">
        <v>144</v>
      </c>
      <c r="D42" s="35" t="s">
        <v>251</v>
      </c>
      <c r="E42" s="35">
        <v>-19.54</v>
      </c>
      <c r="F42" s="34">
        <v>42636</v>
      </c>
    </row>
    <row r="43" spans="1:6" ht="15.75" x14ac:dyDescent="0.25">
      <c r="A43" s="35">
        <v>527120</v>
      </c>
      <c r="B43" s="35" t="s">
        <v>143</v>
      </c>
      <c r="C43" s="35" t="s">
        <v>144</v>
      </c>
      <c r="D43" s="35" t="s">
        <v>251</v>
      </c>
      <c r="E43" s="35">
        <v>-5.04</v>
      </c>
      <c r="F43" s="34">
        <v>42636</v>
      </c>
    </row>
    <row r="44" spans="1:6" ht="15.75" x14ac:dyDescent="0.25">
      <c r="A44" s="35">
        <v>526150</v>
      </c>
      <c r="B44" s="35" t="s">
        <v>258</v>
      </c>
      <c r="C44" s="35" t="s">
        <v>178</v>
      </c>
      <c r="D44" s="35" t="s">
        <v>259</v>
      </c>
      <c r="E44" s="35">
        <v>18.7</v>
      </c>
      <c r="F44" s="34">
        <v>42637</v>
      </c>
    </row>
    <row r="45" spans="1:6" ht="15.75" x14ac:dyDescent="0.25">
      <c r="A45" s="35">
        <v>526120</v>
      </c>
      <c r="B45" s="35" t="s">
        <v>217</v>
      </c>
      <c r="C45" s="35" t="s">
        <v>178</v>
      </c>
      <c r="D45" s="35" t="s">
        <v>259</v>
      </c>
      <c r="E45" s="35">
        <v>100.3</v>
      </c>
      <c r="F45" s="34">
        <v>42637</v>
      </c>
    </row>
    <row r="46" spans="1:6" ht="15.75" x14ac:dyDescent="0.25">
      <c r="A46" s="35">
        <v>531110</v>
      </c>
      <c r="B46" s="35" t="s">
        <v>27</v>
      </c>
      <c r="C46" s="35" t="s">
        <v>142</v>
      </c>
      <c r="D46" s="35">
        <v>2000002084</v>
      </c>
      <c r="E46" s="35">
        <v>0</v>
      </c>
      <c r="F46" s="34">
        <v>42639</v>
      </c>
    </row>
    <row r="47" spans="1:6" ht="15.75" x14ac:dyDescent="0.25">
      <c r="A47" s="35">
        <v>531110</v>
      </c>
      <c r="B47" s="35" t="s">
        <v>27</v>
      </c>
      <c r="C47" s="35" t="s">
        <v>142</v>
      </c>
      <c r="D47" s="35">
        <v>2000002084</v>
      </c>
      <c r="E47" s="35">
        <v>29</v>
      </c>
      <c r="F47" s="34">
        <v>42639</v>
      </c>
    </row>
    <row r="48" spans="1:6" ht="15.75" x14ac:dyDescent="0.25">
      <c r="A48" s="35">
        <v>531110</v>
      </c>
      <c r="B48" s="35" t="s">
        <v>27</v>
      </c>
      <c r="C48" s="35"/>
      <c r="D48" s="35">
        <v>1000002342</v>
      </c>
      <c r="E48" s="35">
        <v>0</v>
      </c>
      <c r="F48" s="34">
        <v>42640</v>
      </c>
    </row>
    <row r="49" spans="1:6" ht="15.75" x14ac:dyDescent="0.25">
      <c r="A49" s="35">
        <v>531110</v>
      </c>
      <c r="B49" s="35" t="s">
        <v>27</v>
      </c>
      <c r="C49" s="35"/>
      <c r="D49" s="35">
        <v>1000002342</v>
      </c>
      <c r="E49" s="35">
        <v>29</v>
      </c>
      <c r="F49" s="34">
        <v>42640</v>
      </c>
    </row>
    <row r="50" spans="1:6" ht="15.75" x14ac:dyDescent="0.25">
      <c r="A50" s="35">
        <v>487110</v>
      </c>
      <c r="B50" s="35" t="s">
        <v>36</v>
      </c>
      <c r="C50" s="35" t="s">
        <v>260</v>
      </c>
      <c r="D50" s="35" t="s">
        <v>261</v>
      </c>
      <c r="E50" s="35">
        <v>55.72</v>
      </c>
      <c r="F50" s="34">
        <v>42640</v>
      </c>
    </row>
    <row r="51" spans="1:6" ht="15.75" x14ac:dyDescent="0.25">
      <c r="A51" s="35">
        <v>558921</v>
      </c>
      <c r="B51" s="35" t="s">
        <v>262</v>
      </c>
      <c r="C51" s="35" t="s">
        <v>263</v>
      </c>
      <c r="D51" s="35" t="s">
        <v>264</v>
      </c>
      <c r="E51" s="35">
        <v>107.03</v>
      </c>
      <c r="F51" s="34">
        <v>42640</v>
      </c>
    </row>
    <row r="52" spans="1:6" ht="15.75" x14ac:dyDescent="0.25">
      <c r="A52" s="35">
        <v>526712</v>
      </c>
      <c r="B52" s="35" t="s">
        <v>14</v>
      </c>
      <c r="C52" s="35" t="s">
        <v>265</v>
      </c>
      <c r="D52" s="35" t="s">
        <v>266</v>
      </c>
      <c r="E52" s="35">
        <v>76.16</v>
      </c>
      <c r="F52" s="34">
        <v>42641</v>
      </c>
    </row>
    <row r="53" spans="1:6" ht="15.75" x14ac:dyDescent="0.25">
      <c r="A53" s="35">
        <v>526712</v>
      </c>
      <c r="B53" s="35" t="s">
        <v>14</v>
      </c>
      <c r="C53" s="35" t="s">
        <v>163</v>
      </c>
      <c r="D53" s="35" t="s">
        <v>267</v>
      </c>
      <c r="E53" s="35">
        <v>88.4</v>
      </c>
      <c r="F53" s="34">
        <v>42641</v>
      </c>
    </row>
    <row r="54" spans="1:6" ht="15.75" x14ac:dyDescent="0.25">
      <c r="A54" s="35">
        <v>526712</v>
      </c>
      <c r="B54" s="35" t="s">
        <v>14</v>
      </c>
      <c r="C54" s="35" t="s">
        <v>184</v>
      </c>
      <c r="D54" s="35" t="s">
        <v>268</v>
      </c>
      <c r="E54" s="35">
        <v>106.08</v>
      </c>
      <c r="F54" s="34">
        <v>42641</v>
      </c>
    </row>
    <row r="55" spans="1:6" ht="15.75" x14ac:dyDescent="0.25">
      <c r="A55" s="35">
        <v>526712</v>
      </c>
      <c r="B55" s="35" t="s">
        <v>14</v>
      </c>
      <c r="C55" s="35" t="s">
        <v>232</v>
      </c>
      <c r="D55" s="35" t="s">
        <v>269</v>
      </c>
      <c r="E55" s="35">
        <v>210.8</v>
      </c>
      <c r="F55" s="34">
        <v>42641</v>
      </c>
    </row>
    <row r="56" spans="1:6" ht="15.75" x14ac:dyDescent="0.25">
      <c r="A56" s="35">
        <v>526712</v>
      </c>
      <c r="B56" s="35" t="s">
        <v>14</v>
      </c>
      <c r="C56" s="35" t="s">
        <v>188</v>
      </c>
      <c r="D56" s="35" t="s">
        <v>270</v>
      </c>
      <c r="E56" s="35">
        <v>210.8</v>
      </c>
      <c r="F56" s="34">
        <v>42641</v>
      </c>
    </row>
    <row r="57" spans="1:6" ht="15.75" x14ac:dyDescent="0.25">
      <c r="A57" s="35">
        <v>526712</v>
      </c>
      <c r="B57" s="35" t="s">
        <v>14</v>
      </c>
      <c r="C57" s="35" t="s">
        <v>271</v>
      </c>
      <c r="D57" s="35" t="s">
        <v>272</v>
      </c>
      <c r="E57" s="35">
        <v>248.88</v>
      </c>
      <c r="F57" s="34">
        <v>42641</v>
      </c>
    </row>
    <row r="58" spans="1:6" ht="15.75" x14ac:dyDescent="0.25">
      <c r="A58" s="35">
        <v>487110</v>
      </c>
      <c r="B58" s="35" t="s">
        <v>36</v>
      </c>
      <c r="C58" s="35" t="s">
        <v>273</v>
      </c>
      <c r="D58" s="35" t="s">
        <v>274</v>
      </c>
      <c r="E58" s="35">
        <v>10745.42</v>
      </c>
      <c r="F58" s="34">
        <v>42641</v>
      </c>
    </row>
    <row r="59" spans="1:6" ht="15.75" x14ac:dyDescent="0.25">
      <c r="A59" s="35">
        <v>531110</v>
      </c>
      <c r="B59" s="35" t="s">
        <v>27</v>
      </c>
      <c r="C59" s="35" t="s">
        <v>142</v>
      </c>
      <c r="D59" s="35">
        <v>2000002304</v>
      </c>
      <c r="E59" s="35">
        <v>0</v>
      </c>
      <c r="F59" s="34">
        <v>42642</v>
      </c>
    </row>
    <row r="60" spans="1:6" ht="15.75" x14ac:dyDescent="0.25">
      <c r="A60" s="35">
        <v>531110</v>
      </c>
      <c r="B60" s="35" t="s">
        <v>27</v>
      </c>
      <c r="C60" s="35" t="s">
        <v>142</v>
      </c>
      <c r="D60" s="35">
        <v>2000002316</v>
      </c>
      <c r="E60" s="35">
        <v>0</v>
      </c>
      <c r="F60" s="34">
        <v>42642</v>
      </c>
    </row>
    <row r="61" spans="1:6" ht="15.75" x14ac:dyDescent="0.25">
      <c r="A61" s="35">
        <v>531110</v>
      </c>
      <c r="B61" s="35" t="s">
        <v>27</v>
      </c>
      <c r="C61" s="35" t="s">
        <v>142</v>
      </c>
      <c r="D61" s="35">
        <v>2000002316</v>
      </c>
      <c r="E61" s="35">
        <v>29</v>
      </c>
      <c r="F61" s="34">
        <v>42642</v>
      </c>
    </row>
    <row r="62" spans="1:6" ht="15.75" x14ac:dyDescent="0.25">
      <c r="A62" s="35">
        <v>531110</v>
      </c>
      <c r="B62" s="35" t="s">
        <v>27</v>
      </c>
      <c r="C62" s="35" t="s">
        <v>142</v>
      </c>
      <c r="D62" s="35">
        <v>2000002304</v>
      </c>
      <c r="E62" s="35">
        <v>145</v>
      </c>
      <c r="F62" s="34">
        <v>42642</v>
      </c>
    </row>
    <row r="63" spans="1:6" ht="15.75" x14ac:dyDescent="0.25">
      <c r="A63" s="35">
        <v>487110</v>
      </c>
      <c r="B63" s="35" t="s">
        <v>36</v>
      </c>
      <c r="C63" s="35" t="s">
        <v>275</v>
      </c>
      <c r="D63" s="35" t="s">
        <v>276</v>
      </c>
      <c r="E63" s="35">
        <v>2715.5</v>
      </c>
      <c r="F63" s="34">
        <v>42642</v>
      </c>
    </row>
    <row r="64" spans="1:6" ht="15.75" x14ac:dyDescent="0.25">
      <c r="A64" s="35">
        <v>526741</v>
      </c>
      <c r="B64" s="35" t="s">
        <v>23</v>
      </c>
      <c r="C64" s="35" t="s">
        <v>277</v>
      </c>
      <c r="D64" s="35" t="s">
        <v>278</v>
      </c>
      <c r="E64" s="35">
        <v>3544.66</v>
      </c>
      <c r="F64" s="34">
        <v>42642</v>
      </c>
    </row>
    <row r="65" spans="1:6" ht="15.75" x14ac:dyDescent="0.25">
      <c r="A65" s="35">
        <v>487110</v>
      </c>
      <c r="B65" s="35" t="s">
        <v>36</v>
      </c>
      <c r="C65" s="35" t="s">
        <v>279</v>
      </c>
      <c r="D65" s="35" t="s">
        <v>280</v>
      </c>
      <c r="E65" s="35">
        <v>6045.2</v>
      </c>
      <c r="F65" s="34">
        <v>42642</v>
      </c>
    </row>
    <row r="66" spans="1:6" ht="15.75" x14ac:dyDescent="0.25">
      <c r="A66" s="35">
        <v>531110</v>
      </c>
      <c r="B66" s="35" t="s">
        <v>27</v>
      </c>
      <c r="C66" s="35"/>
      <c r="D66" s="35">
        <v>1000002604</v>
      </c>
      <c r="E66" s="35">
        <v>0</v>
      </c>
      <c r="F66" s="34">
        <v>42643</v>
      </c>
    </row>
    <row r="67" spans="1:6" ht="15.75" x14ac:dyDescent="0.25">
      <c r="A67" s="35">
        <v>531110</v>
      </c>
      <c r="B67" s="35" t="s">
        <v>27</v>
      </c>
      <c r="C67" s="35"/>
      <c r="D67" s="35">
        <v>1000002590</v>
      </c>
      <c r="E67" s="35">
        <v>0</v>
      </c>
      <c r="F67" s="34">
        <v>42643</v>
      </c>
    </row>
    <row r="68" spans="1:6" ht="15.75" x14ac:dyDescent="0.25">
      <c r="A68" s="35">
        <v>531110</v>
      </c>
      <c r="B68" s="35" t="s">
        <v>27</v>
      </c>
      <c r="C68" s="35"/>
      <c r="D68" s="35">
        <v>1000002604</v>
      </c>
      <c r="E68" s="35">
        <v>29</v>
      </c>
      <c r="F68" s="34">
        <v>42643</v>
      </c>
    </row>
    <row r="69" spans="1:6" ht="15.75" x14ac:dyDescent="0.25">
      <c r="A69" s="35">
        <v>526712</v>
      </c>
      <c r="B69" s="35" t="s">
        <v>14</v>
      </c>
      <c r="C69" s="35" t="s">
        <v>281</v>
      </c>
      <c r="D69" s="35" t="s">
        <v>282</v>
      </c>
      <c r="E69" s="35">
        <v>105.4</v>
      </c>
      <c r="F69" s="34">
        <v>42643</v>
      </c>
    </row>
    <row r="70" spans="1:6" ht="15.75" x14ac:dyDescent="0.25">
      <c r="A70" s="35">
        <v>515130</v>
      </c>
      <c r="B70" s="35" t="s">
        <v>10</v>
      </c>
      <c r="C70" s="35" t="s">
        <v>165</v>
      </c>
      <c r="D70" s="35" t="s">
        <v>283</v>
      </c>
      <c r="E70" s="35">
        <v>122.55</v>
      </c>
      <c r="F70" s="34">
        <v>42643</v>
      </c>
    </row>
    <row r="71" spans="1:6" ht="15.75" x14ac:dyDescent="0.25">
      <c r="A71" s="35">
        <v>531110</v>
      </c>
      <c r="B71" s="35" t="s">
        <v>27</v>
      </c>
      <c r="C71" s="35"/>
      <c r="D71" s="35">
        <v>1000002590</v>
      </c>
      <c r="E71" s="35">
        <v>145</v>
      </c>
      <c r="F71" s="34">
        <v>42643</v>
      </c>
    </row>
    <row r="72" spans="1:6" ht="15.75" x14ac:dyDescent="0.25">
      <c r="A72" s="35">
        <v>515530</v>
      </c>
      <c r="B72" s="35" t="s">
        <v>13</v>
      </c>
      <c r="C72" s="35" t="s">
        <v>165</v>
      </c>
      <c r="D72" s="35" t="s">
        <v>283</v>
      </c>
      <c r="E72" s="35">
        <v>463.68</v>
      </c>
      <c r="F72" s="34">
        <v>42643</v>
      </c>
    </row>
    <row r="73" spans="1:6" ht="15.75" x14ac:dyDescent="0.25">
      <c r="A73" s="35">
        <v>515420</v>
      </c>
      <c r="B73" s="35" t="s">
        <v>12</v>
      </c>
      <c r="C73" s="35" t="s">
        <v>165</v>
      </c>
      <c r="D73" s="35" t="s">
        <v>283</v>
      </c>
      <c r="E73" s="35">
        <v>508.57</v>
      </c>
      <c r="F73" s="34">
        <v>42643</v>
      </c>
    </row>
    <row r="74" spans="1:6" ht="15.75" x14ac:dyDescent="0.25">
      <c r="A74" s="35">
        <v>515120</v>
      </c>
      <c r="B74" s="35" t="s">
        <v>9</v>
      </c>
      <c r="C74" s="35" t="s">
        <v>165</v>
      </c>
      <c r="D74" s="35" t="s">
        <v>283</v>
      </c>
      <c r="E74" s="35">
        <v>524</v>
      </c>
      <c r="F74" s="34">
        <v>42643</v>
      </c>
    </row>
    <row r="75" spans="1:6" ht="15.75" x14ac:dyDescent="0.25">
      <c r="A75" s="35">
        <v>515410</v>
      </c>
      <c r="B75" s="35" t="s">
        <v>11</v>
      </c>
      <c r="C75" s="35" t="s">
        <v>165</v>
      </c>
      <c r="D75" s="35" t="s">
        <v>283</v>
      </c>
      <c r="E75" s="35">
        <v>581.71</v>
      </c>
      <c r="F75" s="34">
        <v>42643</v>
      </c>
    </row>
    <row r="76" spans="1:6" ht="15.75" x14ac:dyDescent="0.25">
      <c r="A76" s="35">
        <v>511120</v>
      </c>
      <c r="B76" s="35" t="s">
        <v>6</v>
      </c>
      <c r="C76" s="35" t="s">
        <v>165</v>
      </c>
      <c r="D76" s="35" t="s">
        <v>283</v>
      </c>
      <c r="E76" s="35">
        <v>1587.92</v>
      </c>
      <c r="F76" s="34">
        <v>42643</v>
      </c>
    </row>
    <row r="77" spans="1:6" ht="15.75" x14ac:dyDescent="0.25">
      <c r="A77" s="35">
        <v>511120</v>
      </c>
      <c r="B77" s="35" t="s">
        <v>6</v>
      </c>
      <c r="C77" s="35" t="s">
        <v>165</v>
      </c>
      <c r="D77" s="35" t="s">
        <v>283</v>
      </c>
      <c r="E77" s="35">
        <v>6916.67</v>
      </c>
      <c r="F77" s="34">
        <v>42643</v>
      </c>
    </row>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5737F-9CCB-4B50-837B-825A126123D9}">
  <dimension ref="A1:F49"/>
  <sheetViews>
    <sheetView workbookViewId="0">
      <selection activeCell="E2" sqref="E2"/>
    </sheetView>
  </sheetViews>
  <sheetFormatPr defaultRowHeight="15" x14ac:dyDescent="0.25"/>
  <cols>
    <col min="1" max="1" width="14.5703125" customWidth="1"/>
    <col min="2" max="6" width="35.7109375" customWidth="1"/>
  </cols>
  <sheetData>
    <row r="1" spans="1:6" ht="16.5" x14ac:dyDescent="0.3">
      <c r="A1" s="90" t="s">
        <v>0</v>
      </c>
      <c r="B1" s="91" t="s">
        <v>1</v>
      </c>
      <c r="C1" s="91" t="s">
        <v>2</v>
      </c>
      <c r="D1" s="91" t="s">
        <v>3</v>
      </c>
      <c r="E1" s="91" t="s">
        <v>4</v>
      </c>
      <c r="F1" s="92" t="s">
        <v>5</v>
      </c>
    </row>
    <row r="2" spans="1:6" ht="15.75" x14ac:dyDescent="0.25">
      <c r="A2" s="35">
        <v>527120</v>
      </c>
      <c r="B2" s="35" t="s">
        <v>143</v>
      </c>
      <c r="C2" s="35" t="s">
        <v>144</v>
      </c>
      <c r="D2" s="35" t="s">
        <v>145</v>
      </c>
      <c r="E2" s="35">
        <v>-19.54</v>
      </c>
      <c r="F2" s="34">
        <v>42585</v>
      </c>
    </row>
    <row r="3" spans="1:6" ht="15.75" x14ac:dyDescent="0.25">
      <c r="A3" s="35">
        <v>527120</v>
      </c>
      <c r="B3" s="35" t="s">
        <v>143</v>
      </c>
      <c r="C3" s="35" t="s">
        <v>144</v>
      </c>
      <c r="D3" s="35" t="s">
        <v>145</v>
      </c>
      <c r="E3" s="35">
        <v>-5.04</v>
      </c>
      <c r="F3" s="34">
        <v>42585</v>
      </c>
    </row>
    <row r="4" spans="1:6" ht="15.75" x14ac:dyDescent="0.25">
      <c r="A4" s="35">
        <v>526712</v>
      </c>
      <c r="B4" s="35" t="s">
        <v>14</v>
      </c>
      <c r="C4" s="35" t="s">
        <v>163</v>
      </c>
      <c r="D4" s="35" t="s">
        <v>173</v>
      </c>
      <c r="E4" s="35">
        <v>37.4</v>
      </c>
      <c r="F4" s="34">
        <v>42591</v>
      </c>
    </row>
    <row r="5" spans="1:6" ht="15.75" x14ac:dyDescent="0.25">
      <c r="A5" s="35">
        <v>526712</v>
      </c>
      <c r="B5" s="35" t="s">
        <v>14</v>
      </c>
      <c r="C5" s="35" t="s">
        <v>174</v>
      </c>
      <c r="D5" s="35" t="s">
        <v>175</v>
      </c>
      <c r="E5" s="35">
        <v>61.88</v>
      </c>
      <c r="F5" s="34">
        <v>42591</v>
      </c>
    </row>
    <row r="6" spans="1:6" ht="15.75" x14ac:dyDescent="0.25">
      <c r="A6" s="35">
        <v>526712</v>
      </c>
      <c r="B6" s="35" t="s">
        <v>14</v>
      </c>
      <c r="C6" s="35" t="s">
        <v>176</v>
      </c>
      <c r="D6" s="35" t="s">
        <v>177</v>
      </c>
      <c r="E6" s="35">
        <v>112.88</v>
      </c>
      <c r="F6" s="34">
        <v>42591</v>
      </c>
    </row>
    <row r="7" spans="1:6" ht="15.75" x14ac:dyDescent="0.25">
      <c r="A7" s="35">
        <v>526741</v>
      </c>
      <c r="B7" s="35" t="s">
        <v>23</v>
      </c>
      <c r="C7" s="35" t="s">
        <v>178</v>
      </c>
      <c r="D7" s="35" t="s">
        <v>179</v>
      </c>
      <c r="E7" s="35">
        <v>118.04</v>
      </c>
      <c r="F7" s="34">
        <v>42591</v>
      </c>
    </row>
    <row r="8" spans="1:6" ht="15.75" x14ac:dyDescent="0.25">
      <c r="A8" s="35">
        <v>526712</v>
      </c>
      <c r="B8" s="35" t="s">
        <v>14</v>
      </c>
      <c r="C8" s="35" t="s">
        <v>180</v>
      </c>
      <c r="D8" s="35" t="s">
        <v>181</v>
      </c>
      <c r="E8" s="35">
        <v>133.28</v>
      </c>
      <c r="F8" s="34">
        <v>42591</v>
      </c>
    </row>
    <row r="9" spans="1:6" ht="15.75" x14ac:dyDescent="0.25">
      <c r="A9" s="35">
        <v>558979</v>
      </c>
      <c r="B9" s="35" t="s">
        <v>150</v>
      </c>
      <c r="C9" s="35" t="s">
        <v>182</v>
      </c>
      <c r="D9" s="35" t="s">
        <v>183</v>
      </c>
      <c r="E9" s="35">
        <v>200</v>
      </c>
      <c r="F9" s="34">
        <v>42591</v>
      </c>
    </row>
    <row r="10" spans="1:6" ht="15.75" x14ac:dyDescent="0.25">
      <c r="A10" s="35">
        <v>558979</v>
      </c>
      <c r="B10" s="35" t="s">
        <v>150</v>
      </c>
      <c r="C10" s="35" t="s">
        <v>184</v>
      </c>
      <c r="D10" s="35" t="s">
        <v>185</v>
      </c>
      <c r="E10" s="35">
        <v>200</v>
      </c>
      <c r="F10" s="34">
        <v>42591</v>
      </c>
    </row>
    <row r="11" spans="1:6" ht="15.75" x14ac:dyDescent="0.25">
      <c r="A11" s="35">
        <v>558979</v>
      </c>
      <c r="B11" s="35" t="s">
        <v>150</v>
      </c>
      <c r="C11" s="35" t="s">
        <v>186</v>
      </c>
      <c r="D11" s="35" t="s">
        <v>187</v>
      </c>
      <c r="E11" s="35">
        <v>200</v>
      </c>
      <c r="F11" s="34">
        <v>42591</v>
      </c>
    </row>
    <row r="12" spans="1:6" ht="15.75" x14ac:dyDescent="0.25">
      <c r="A12" s="35">
        <v>558979</v>
      </c>
      <c r="B12" s="35" t="s">
        <v>150</v>
      </c>
      <c r="C12" s="35" t="s">
        <v>188</v>
      </c>
      <c r="D12" s="35" t="s">
        <v>189</v>
      </c>
      <c r="E12" s="35">
        <v>225</v>
      </c>
      <c r="F12" s="34">
        <v>42591</v>
      </c>
    </row>
    <row r="13" spans="1:6" ht="15.75" x14ac:dyDescent="0.25">
      <c r="A13" s="35">
        <v>558979</v>
      </c>
      <c r="B13" s="35" t="s">
        <v>150</v>
      </c>
      <c r="C13" s="35" t="s">
        <v>190</v>
      </c>
      <c r="D13" s="35" t="s">
        <v>191</v>
      </c>
      <c r="E13" s="35">
        <v>400</v>
      </c>
      <c r="F13" s="34">
        <v>42591</v>
      </c>
    </row>
    <row r="14" spans="1:6" ht="15.75" x14ac:dyDescent="0.25">
      <c r="A14" s="35">
        <v>558979</v>
      </c>
      <c r="B14" s="35" t="s">
        <v>150</v>
      </c>
      <c r="C14" s="35" t="s">
        <v>163</v>
      </c>
      <c r="D14" s="35" t="s">
        <v>192</v>
      </c>
      <c r="E14" s="35">
        <v>650</v>
      </c>
      <c r="F14" s="34">
        <v>42591</v>
      </c>
    </row>
    <row r="15" spans="1:6" ht="15.75" x14ac:dyDescent="0.25">
      <c r="A15" s="35">
        <v>487110</v>
      </c>
      <c r="B15" s="35" t="s">
        <v>36</v>
      </c>
      <c r="C15" s="35" t="s">
        <v>193</v>
      </c>
      <c r="D15" s="35" t="s">
        <v>194</v>
      </c>
      <c r="E15" s="35">
        <v>975.43</v>
      </c>
      <c r="F15" s="34">
        <v>42593</v>
      </c>
    </row>
    <row r="16" spans="1:6" ht="15.75" x14ac:dyDescent="0.25">
      <c r="A16" s="35">
        <v>531110</v>
      </c>
      <c r="B16" s="35" t="s">
        <v>27</v>
      </c>
      <c r="C16" s="35" t="s">
        <v>142</v>
      </c>
      <c r="D16" s="35">
        <v>2000002304</v>
      </c>
      <c r="E16" s="35">
        <v>-145</v>
      </c>
      <c r="F16" s="34">
        <v>42594</v>
      </c>
    </row>
    <row r="17" spans="1:6" ht="15.75" x14ac:dyDescent="0.25">
      <c r="A17" s="35">
        <v>487110</v>
      </c>
      <c r="B17" s="35" t="s">
        <v>36</v>
      </c>
      <c r="C17" s="35" t="s">
        <v>195</v>
      </c>
      <c r="D17" s="35" t="s">
        <v>196</v>
      </c>
      <c r="E17" s="35">
        <v>5064.96</v>
      </c>
      <c r="F17" s="34">
        <v>42594</v>
      </c>
    </row>
    <row r="18" spans="1:6" ht="15.75" x14ac:dyDescent="0.25">
      <c r="A18" s="35">
        <v>487110</v>
      </c>
      <c r="B18" s="35" t="s">
        <v>36</v>
      </c>
      <c r="C18" s="35" t="s">
        <v>197</v>
      </c>
      <c r="D18" s="35" t="s">
        <v>198</v>
      </c>
      <c r="E18" s="35">
        <v>308.02</v>
      </c>
      <c r="F18" s="34">
        <v>42597</v>
      </c>
    </row>
    <row r="19" spans="1:6" ht="15.75" x14ac:dyDescent="0.25">
      <c r="A19" s="35">
        <v>487110</v>
      </c>
      <c r="B19" s="35" t="s">
        <v>36</v>
      </c>
      <c r="C19" s="35" t="s">
        <v>199</v>
      </c>
      <c r="D19" s="35" t="s">
        <v>200</v>
      </c>
      <c r="E19" s="35">
        <v>1867.23</v>
      </c>
      <c r="F19" s="34">
        <v>42597</v>
      </c>
    </row>
    <row r="20" spans="1:6" ht="15.75" x14ac:dyDescent="0.25">
      <c r="A20" s="35">
        <v>487110</v>
      </c>
      <c r="B20" s="35" t="s">
        <v>36</v>
      </c>
      <c r="C20" s="35" t="s">
        <v>201</v>
      </c>
      <c r="D20" s="35" t="s">
        <v>202</v>
      </c>
      <c r="E20" s="35">
        <v>3270.02</v>
      </c>
      <c r="F20" s="34">
        <v>42597</v>
      </c>
    </row>
    <row r="21" spans="1:6" ht="15.75" x14ac:dyDescent="0.25">
      <c r="A21" s="35">
        <v>487110</v>
      </c>
      <c r="B21" s="35" t="s">
        <v>36</v>
      </c>
      <c r="C21" s="35" t="s">
        <v>203</v>
      </c>
      <c r="D21" s="35" t="s">
        <v>204</v>
      </c>
      <c r="E21" s="35">
        <v>4887.3100000000004</v>
      </c>
      <c r="F21" s="34">
        <v>42597</v>
      </c>
    </row>
    <row r="22" spans="1:6" ht="15.75" x14ac:dyDescent="0.25">
      <c r="A22" s="35">
        <v>487110</v>
      </c>
      <c r="B22" s="35" t="s">
        <v>36</v>
      </c>
      <c r="C22" s="35" t="s">
        <v>205</v>
      </c>
      <c r="D22" s="35" t="s">
        <v>206</v>
      </c>
      <c r="E22" s="35">
        <v>1695</v>
      </c>
      <c r="F22" s="34">
        <v>42598</v>
      </c>
    </row>
    <row r="23" spans="1:6" ht="15.75" x14ac:dyDescent="0.25">
      <c r="A23" s="35">
        <v>487110</v>
      </c>
      <c r="B23" s="35" t="s">
        <v>36</v>
      </c>
      <c r="C23" s="35" t="s">
        <v>207</v>
      </c>
      <c r="D23" s="35" t="s">
        <v>208</v>
      </c>
      <c r="E23" s="35">
        <v>3845.65</v>
      </c>
      <c r="F23" s="34">
        <v>42598</v>
      </c>
    </row>
    <row r="24" spans="1:6" ht="15.75" x14ac:dyDescent="0.25">
      <c r="A24" s="35">
        <v>531110</v>
      </c>
      <c r="B24" s="35" t="s">
        <v>27</v>
      </c>
      <c r="C24" s="35" t="s">
        <v>209</v>
      </c>
      <c r="D24" s="35">
        <v>2000002317</v>
      </c>
      <c r="E24" s="35">
        <v>-240</v>
      </c>
      <c r="F24" s="34">
        <v>42599</v>
      </c>
    </row>
    <row r="25" spans="1:6" ht="15.75" x14ac:dyDescent="0.25">
      <c r="A25" s="35">
        <v>538110</v>
      </c>
      <c r="B25" s="35" t="s">
        <v>210</v>
      </c>
      <c r="C25" s="35" t="s">
        <v>209</v>
      </c>
      <c r="D25" s="35">
        <v>2000002317</v>
      </c>
      <c r="E25" s="35">
        <v>-207</v>
      </c>
      <c r="F25" s="34">
        <v>42599</v>
      </c>
    </row>
    <row r="26" spans="1:6" ht="15.75" x14ac:dyDescent="0.25">
      <c r="A26" s="35">
        <v>522928</v>
      </c>
      <c r="B26" s="35" t="s">
        <v>211</v>
      </c>
      <c r="C26" s="35" t="s">
        <v>209</v>
      </c>
      <c r="D26" s="35">
        <v>2000002317</v>
      </c>
      <c r="E26" s="35">
        <v>-35</v>
      </c>
      <c r="F26" s="34">
        <v>42599</v>
      </c>
    </row>
    <row r="27" spans="1:6" ht="15.75" x14ac:dyDescent="0.25">
      <c r="A27" s="35">
        <v>531110</v>
      </c>
      <c r="B27" s="35" t="s">
        <v>27</v>
      </c>
      <c r="C27" s="35" t="s">
        <v>142</v>
      </c>
      <c r="D27" s="35">
        <v>2000002316</v>
      </c>
      <c r="E27" s="35">
        <v>-29</v>
      </c>
      <c r="F27" s="34">
        <v>42599</v>
      </c>
    </row>
    <row r="28" spans="1:6" ht="15.75" x14ac:dyDescent="0.25">
      <c r="A28" s="35">
        <v>527420</v>
      </c>
      <c r="B28" s="35" t="s">
        <v>212</v>
      </c>
      <c r="C28" s="35" t="s">
        <v>209</v>
      </c>
      <c r="D28" s="35">
        <v>2000002317</v>
      </c>
      <c r="E28" s="35">
        <v>-18.13</v>
      </c>
      <c r="F28" s="34">
        <v>42599</v>
      </c>
    </row>
    <row r="29" spans="1:6" ht="15.75" x14ac:dyDescent="0.25">
      <c r="A29" s="35">
        <v>522928</v>
      </c>
      <c r="B29" s="35" t="s">
        <v>211</v>
      </c>
      <c r="C29" s="35" t="s">
        <v>209</v>
      </c>
      <c r="D29" s="35">
        <v>2000002317</v>
      </c>
      <c r="E29" s="35">
        <v>-15</v>
      </c>
      <c r="F29" s="34">
        <v>42599</v>
      </c>
    </row>
    <row r="30" spans="1:6" ht="15.75" x14ac:dyDescent="0.25">
      <c r="A30" s="35">
        <v>531110</v>
      </c>
      <c r="B30" s="35" t="s">
        <v>27</v>
      </c>
      <c r="C30" s="35" t="s">
        <v>142</v>
      </c>
      <c r="D30" s="35" t="s">
        <v>213</v>
      </c>
      <c r="E30" s="35">
        <v>-29</v>
      </c>
      <c r="F30" s="34">
        <v>42604</v>
      </c>
    </row>
    <row r="31" spans="1:6" ht="15.75" x14ac:dyDescent="0.25">
      <c r="A31" s="35">
        <v>531110</v>
      </c>
      <c r="B31" s="35" t="s">
        <v>27</v>
      </c>
      <c r="C31" s="35" t="s">
        <v>142</v>
      </c>
      <c r="D31" s="35" t="s">
        <v>213</v>
      </c>
      <c r="E31" s="35">
        <v>32.71</v>
      </c>
      <c r="F31" s="34">
        <v>42604</v>
      </c>
    </row>
    <row r="32" spans="1:6" ht="15.75" x14ac:dyDescent="0.25">
      <c r="A32" s="35">
        <v>527120</v>
      </c>
      <c r="B32" s="35" t="s">
        <v>143</v>
      </c>
      <c r="C32" s="35" t="s">
        <v>144</v>
      </c>
      <c r="D32" s="35" t="s">
        <v>214</v>
      </c>
      <c r="E32" s="35">
        <v>5.04</v>
      </c>
      <c r="F32" s="34">
        <v>42607</v>
      </c>
    </row>
    <row r="33" spans="1:6" ht="15.75" x14ac:dyDescent="0.25">
      <c r="A33" s="35">
        <v>527120</v>
      </c>
      <c r="B33" s="35" t="s">
        <v>143</v>
      </c>
      <c r="C33" s="35" t="s">
        <v>144</v>
      </c>
      <c r="D33" s="35" t="s">
        <v>214</v>
      </c>
      <c r="E33" s="35">
        <v>19.54</v>
      </c>
      <c r="F33" s="34">
        <v>42607</v>
      </c>
    </row>
    <row r="34" spans="1:6" ht="15.75" x14ac:dyDescent="0.25">
      <c r="A34" s="35">
        <v>487110</v>
      </c>
      <c r="B34" s="35" t="s">
        <v>36</v>
      </c>
      <c r="C34" s="35" t="s">
        <v>215</v>
      </c>
      <c r="D34" s="35" t="s">
        <v>216</v>
      </c>
      <c r="E34" s="35">
        <v>1761.82</v>
      </c>
      <c r="F34" s="34">
        <v>42607</v>
      </c>
    </row>
    <row r="35" spans="1:6" ht="15.75" x14ac:dyDescent="0.25">
      <c r="A35" s="35">
        <v>526120</v>
      </c>
      <c r="B35" s="35" t="s">
        <v>217</v>
      </c>
      <c r="C35" s="35" t="s">
        <v>178</v>
      </c>
      <c r="D35" s="35" t="s">
        <v>218</v>
      </c>
      <c r="E35" s="35">
        <v>46.24</v>
      </c>
      <c r="F35" s="34">
        <v>42608</v>
      </c>
    </row>
    <row r="36" spans="1:6" ht="15.75" x14ac:dyDescent="0.25">
      <c r="A36" s="35">
        <v>526120</v>
      </c>
      <c r="B36" s="35" t="s">
        <v>217</v>
      </c>
      <c r="C36" s="35" t="s">
        <v>178</v>
      </c>
      <c r="D36" s="35" t="s">
        <v>219</v>
      </c>
      <c r="E36" s="35">
        <v>67.66</v>
      </c>
      <c r="F36" s="34">
        <v>42608</v>
      </c>
    </row>
    <row r="37" spans="1:6" ht="15.75" x14ac:dyDescent="0.25">
      <c r="A37" s="35">
        <v>531110</v>
      </c>
      <c r="B37" s="35" t="s">
        <v>27</v>
      </c>
      <c r="C37" s="35" t="s">
        <v>142</v>
      </c>
      <c r="D37" s="35" t="s">
        <v>220</v>
      </c>
      <c r="E37" s="35">
        <v>-145</v>
      </c>
      <c r="F37" s="34">
        <v>42612</v>
      </c>
    </row>
    <row r="38" spans="1:6" ht="15.75" x14ac:dyDescent="0.25">
      <c r="A38" s="35">
        <v>531110</v>
      </c>
      <c r="B38" s="35" t="s">
        <v>27</v>
      </c>
      <c r="C38" s="35" t="s">
        <v>142</v>
      </c>
      <c r="D38" s="35" t="s">
        <v>221</v>
      </c>
      <c r="E38" s="35">
        <v>-29</v>
      </c>
      <c r="F38" s="34">
        <v>42612</v>
      </c>
    </row>
    <row r="39" spans="1:6" ht="15.75" x14ac:dyDescent="0.25">
      <c r="A39" s="35">
        <v>531110</v>
      </c>
      <c r="B39" s="35" t="s">
        <v>27</v>
      </c>
      <c r="C39" s="35" t="s">
        <v>142</v>
      </c>
      <c r="D39" s="35" t="s">
        <v>221</v>
      </c>
      <c r="E39" s="35">
        <v>32.71</v>
      </c>
      <c r="F39" s="34">
        <v>42612</v>
      </c>
    </row>
    <row r="40" spans="1:6" ht="15.75" x14ac:dyDescent="0.25">
      <c r="A40" s="35">
        <v>531110</v>
      </c>
      <c r="B40" s="35" t="s">
        <v>27</v>
      </c>
      <c r="C40" s="35" t="s">
        <v>142</v>
      </c>
      <c r="D40" s="35" t="s">
        <v>220</v>
      </c>
      <c r="E40" s="35">
        <v>148.75</v>
      </c>
      <c r="F40" s="34">
        <v>42612</v>
      </c>
    </row>
    <row r="41" spans="1:6" ht="15.75" x14ac:dyDescent="0.25">
      <c r="A41" s="35">
        <v>526742</v>
      </c>
      <c r="B41" s="35" t="s">
        <v>26</v>
      </c>
      <c r="C41" s="35" t="s">
        <v>222</v>
      </c>
      <c r="D41" s="35" t="s">
        <v>223</v>
      </c>
      <c r="E41" s="35">
        <v>630</v>
      </c>
      <c r="F41" s="34">
        <v>42612</v>
      </c>
    </row>
    <row r="42" spans="1:6" ht="15.75" x14ac:dyDescent="0.25">
      <c r="A42" s="35">
        <v>526120</v>
      </c>
      <c r="B42" s="35" t="s">
        <v>217</v>
      </c>
      <c r="C42" s="35" t="s">
        <v>178</v>
      </c>
      <c r="D42" s="35" t="s">
        <v>224</v>
      </c>
      <c r="E42" s="35">
        <v>55.08</v>
      </c>
      <c r="F42" s="34">
        <v>42613</v>
      </c>
    </row>
    <row r="43" spans="1:6" ht="15.75" x14ac:dyDescent="0.25">
      <c r="A43" s="35">
        <v>515130</v>
      </c>
      <c r="B43" s="35" t="s">
        <v>10</v>
      </c>
      <c r="C43" s="35" t="s">
        <v>165</v>
      </c>
      <c r="D43" s="35" t="s">
        <v>225</v>
      </c>
      <c r="E43" s="35">
        <v>77.64</v>
      </c>
      <c r="F43" s="34">
        <v>42613</v>
      </c>
    </row>
    <row r="44" spans="1:6" ht="15.75" x14ac:dyDescent="0.25">
      <c r="A44" s="35">
        <v>511120</v>
      </c>
      <c r="B44" s="35" t="s">
        <v>6</v>
      </c>
      <c r="C44" s="35" t="s">
        <v>165</v>
      </c>
      <c r="D44" s="35" t="s">
        <v>225</v>
      </c>
      <c r="E44" s="35">
        <v>78.75</v>
      </c>
      <c r="F44" s="34">
        <v>42613</v>
      </c>
    </row>
    <row r="45" spans="1:6" ht="15.75" x14ac:dyDescent="0.25">
      <c r="A45" s="35">
        <v>515420</v>
      </c>
      <c r="B45" s="35" t="s">
        <v>12</v>
      </c>
      <c r="C45" s="35" t="s">
        <v>165</v>
      </c>
      <c r="D45" s="35" t="s">
        <v>225</v>
      </c>
      <c r="E45" s="35">
        <v>323.37</v>
      </c>
      <c r="F45" s="34">
        <v>42613</v>
      </c>
    </row>
    <row r="46" spans="1:6" ht="15.75" x14ac:dyDescent="0.25">
      <c r="A46" s="35">
        <v>515120</v>
      </c>
      <c r="B46" s="35" t="s">
        <v>9</v>
      </c>
      <c r="C46" s="35" t="s">
        <v>165</v>
      </c>
      <c r="D46" s="35" t="s">
        <v>225</v>
      </c>
      <c r="E46" s="35">
        <v>331.98</v>
      </c>
      <c r="F46" s="34">
        <v>42613</v>
      </c>
    </row>
    <row r="47" spans="1:6" ht="15.75" x14ac:dyDescent="0.25">
      <c r="A47" s="35">
        <v>515410</v>
      </c>
      <c r="B47" s="35" t="s">
        <v>11</v>
      </c>
      <c r="C47" s="35" t="s">
        <v>165</v>
      </c>
      <c r="D47" s="35" t="s">
        <v>225</v>
      </c>
      <c r="E47" s="35">
        <v>369.87</v>
      </c>
      <c r="F47" s="34">
        <v>42613</v>
      </c>
    </row>
    <row r="48" spans="1:6" ht="15.75" x14ac:dyDescent="0.25">
      <c r="A48" s="35">
        <v>515530</v>
      </c>
      <c r="B48" s="35" t="s">
        <v>13</v>
      </c>
      <c r="C48" s="35" t="s">
        <v>165</v>
      </c>
      <c r="D48" s="35" t="s">
        <v>225</v>
      </c>
      <c r="E48" s="35">
        <v>463.68</v>
      </c>
      <c r="F48" s="34">
        <v>42613</v>
      </c>
    </row>
    <row r="49" spans="1:6" ht="15.75" x14ac:dyDescent="0.25">
      <c r="A49" s="35">
        <v>511120</v>
      </c>
      <c r="B49" s="35" t="s">
        <v>6</v>
      </c>
      <c r="C49" s="35" t="s">
        <v>165</v>
      </c>
      <c r="D49" s="35" t="s">
        <v>225</v>
      </c>
      <c r="E49" s="35">
        <v>5328.75</v>
      </c>
      <c r="F49" s="34">
        <v>42613</v>
      </c>
    </row>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AF5CE-5952-4EEC-B577-A52439070FAA}">
  <dimension ref="A1:F33"/>
  <sheetViews>
    <sheetView workbookViewId="0">
      <selection activeCell="C14" sqref="C14"/>
    </sheetView>
  </sheetViews>
  <sheetFormatPr defaultRowHeight="15" x14ac:dyDescent="0.25"/>
  <cols>
    <col min="1" max="1" width="10.7109375" customWidth="1"/>
    <col min="2" max="6" width="35.7109375" customWidth="1"/>
  </cols>
  <sheetData>
    <row r="1" spans="1:6" x14ac:dyDescent="0.25">
      <c r="A1" s="36" t="s">
        <v>0</v>
      </c>
      <c r="B1" s="36" t="s">
        <v>1</v>
      </c>
      <c r="C1" s="36" t="s">
        <v>2</v>
      </c>
      <c r="D1" s="36" t="s">
        <v>3</v>
      </c>
      <c r="E1" s="36" t="s">
        <v>4</v>
      </c>
      <c r="F1" s="36" t="s">
        <v>5</v>
      </c>
    </row>
    <row r="2" spans="1:6" ht="15.75" x14ac:dyDescent="0.25">
      <c r="A2" s="35">
        <v>531110</v>
      </c>
      <c r="B2" s="35" t="s">
        <v>27</v>
      </c>
      <c r="C2" s="35" t="s">
        <v>142</v>
      </c>
      <c r="D2" s="35">
        <v>2000002084</v>
      </c>
      <c r="E2" s="35">
        <v>-29</v>
      </c>
      <c r="F2" s="34">
        <v>42557</v>
      </c>
    </row>
    <row r="3" spans="1:6" ht="15.75" x14ac:dyDescent="0.25">
      <c r="A3" s="35">
        <v>527120</v>
      </c>
      <c r="B3" s="35" t="s">
        <v>143</v>
      </c>
      <c r="C3" s="35" t="s">
        <v>144</v>
      </c>
      <c r="D3" s="35" t="s">
        <v>145</v>
      </c>
      <c r="E3" s="35">
        <v>19.54</v>
      </c>
      <c r="F3" s="34">
        <v>42573</v>
      </c>
    </row>
    <row r="4" spans="1:6" ht="15.75" x14ac:dyDescent="0.25">
      <c r="A4" s="35">
        <v>527120</v>
      </c>
      <c r="B4" s="35" t="s">
        <v>143</v>
      </c>
      <c r="C4" s="35" t="s">
        <v>144</v>
      </c>
      <c r="D4" s="35" t="s">
        <v>145</v>
      </c>
      <c r="E4" s="35">
        <v>19.54</v>
      </c>
      <c r="F4" s="34">
        <v>42573</v>
      </c>
    </row>
    <row r="5" spans="1:6" ht="15.75" x14ac:dyDescent="0.25">
      <c r="A5" s="35">
        <v>527120</v>
      </c>
      <c r="B5" s="35" t="s">
        <v>143</v>
      </c>
      <c r="C5" s="35" t="s">
        <v>144</v>
      </c>
      <c r="D5" s="35" t="s">
        <v>145</v>
      </c>
      <c r="E5" s="35">
        <v>19.54</v>
      </c>
      <c r="F5" s="34">
        <v>42573</v>
      </c>
    </row>
    <row r="6" spans="1:6" ht="15.75" x14ac:dyDescent="0.25">
      <c r="A6" s="35">
        <v>527120</v>
      </c>
      <c r="B6" s="35" t="s">
        <v>143</v>
      </c>
      <c r="C6" s="35" t="s">
        <v>144</v>
      </c>
      <c r="D6" s="35" t="s">
        <v>145</v>
      </c>
      <c r="E6" s="35">
        <v>19.54</v>
      </c>
      <c r="F6" s="34">
        <v>42573</v>
      </c>
    </row>
    <row r="7" spans="1:6" ht="15.75" x14ac:dyDescent="0.25">
      <c r="A7" s="35">
        <v>527120</v>
      </c>
      <c r="B7" s="35" t="s">
        <v>143</v>
      </c>
      <c r="C7" s="35" t="s">
        <v>144</v>
      </c>
      <c r="D7" s="35" t="s">
        <v>145</v>
      </c>
      <c r="E7" s="35">
        <v>5.04</v>
      </c>
      <c r="F7" s="34">
        <v>42573</v>
      </c>
    </row>
    <row r="8" spans="1:6" ht="15.75" x14ac:dyDescent="0.25">
      <c r="A8" s="35">
        <v>527120</v>
      </c>
      <c r="B8" s="35" t="s">
        <v>143</v>
      </c>
      <c r="C8" s="35" t="s">
        <v>144</v>
      </c>
      <c r="D8" s="35" t="s">
        <v>145</v>
      </c>
      <c r="E8" s="35">
        <v>5.04</v>
      </c>
      <c r="F8" s="34">
        <v>42573</v>
      </c>
    </row>
    <row r="9" spans="1:6" ht="15.75" x14ac:dyDescent="0.25">
      <c r="A9" s="35">
        <v>527120</v>
      </c>
      <c r="B9" s="35" t="s">
        <v>143</v>
      </c>
      <c r="C9" s="35" t="s">
        <v>144</v>
      </c>
      <c r="D9" s="35" t="s">
        <v>145</v>
      </c>
      <c r="E9" s="35">
        <v>5.04</v>
      </c>
      <c r="F9" s="34">
        <v>42573</v>
      </c>
    </row>
    <row r="10" spans="1:6" ht="15.75" x14ac:dyDescent="0.25">
      <c r="A10" s="35">
        <v>527120</v>
      </c>
      <c r="B10" s="35" t="s">
        <v>143</v>
      </c>
      <c r="C10" s="35" t="s">
        <v>144</v>
      </c>
      <c r="D10" s="35" t="s">
        <v>145</v>
      </c>
      <c r="E10" s="35">
        <v>5.04</v>
      </c>
      <c r="F10" s="34">
        <v>42573</v>
      </c>
    </row>
    <row r="11" spans="1:6" ht="15.75" x14ac:dyDescent="0.25">
      <c r="A11" s="35">
        <v>526741</v>
      </c>
      <c r="B11" s="35" t="s">
        <v>23</v>
      </c>
      <c r="C11" s="35" t="s">
        <v>146</v>
      </c>
      <c r="D11" s="35" t="s">
        <v>147</v>
      </c>
      <c r="E11" s="35">
        <v>284.08</v>
      </c>
      <c r="F11" s="34">
        <v>42576</v>
      </c>
    </row>
    <row r="12" spans="1:6" ht="15.75" x14ac:dyDescent="0.25">
      <c r="A12" s="35">
        <v>531110</v>
      </c>
      <c r="B12" s="35" t="s">
        <v>27</v>
      </c>
      <c r="C12" s="35" t="s">
        <v>142</v>
      </c>
      <c r="D12" s="35">
        <v>2000002200</v>
      </c>
      <c r="E12" s="35">
        <v>-29</v>
      </c>
      <c r="F12" s="34">
        <v>42576</v>
      </c>
    </row>
    <row r="13" spans="1:6" ht="15.75" x14ac:dyDescent="0.25">
      <c r="A13" s="35">
        <v>531110</v>
      </c>
      <c r="B13" s="35" t="s">
        <v>27</v>
      </c>
      <c r="C13" s="35" t="s">
        <v>142</v>
      </c>
      <c r="D13" s="35">
        <v>2000002201</v>
      </c>
      <c r="E13" s="35">
        <v>-29</v>
      </c>
      <c r="F13" s="34">
        <v>42576</v>
      </c>
    </row>
    <row r="14" spans="1:6" ht="15.75" x14ac:dyDescent="0.25">
      <c r="A14" s="35">
        <v>531110</v>
      </c>
      <c r="B14" s="35" t="s">
        <v>27</v>
      </c>
      <c r="C14" s="35" t="s">
        <v>142</v>
      </c>
      <c r="D14" s="35">
        <v>2000002200</v>
      </c>
      <c r="E14" s="35">
        <v>-29</v>
      </c>
      <c r="F14" s="34">
        <v>42576</v>
      </c>
    </row>
    <row r="15" spans="1:6" ht="15.75" x14ac:dyDescent="0.25">
      <c r="A15" s="35">
        <v>487110</v>
      </c>
      <c r="B15" s="35" t="s">
        <v>36</v>
      </c>
      <c r="C15" s="35" t="s">
        <v>148</v>
      </c>
      <c r="D15" s="35" t="s">
        <v>149</v>
      </c>
      <c r="E15" s="35">
        <v>1355.85</v>
      </c>
      <c r="F15" s="34">
        <v>42576</v>
      </c>
    </row>
    <row r="16" spans="1:6" ht="15.75" x14ac:dyDescent="0.25">
      <c r="A16" s="35">
        <v>527120</v>
      </c>
      <c r="B16" s="35" t="s">
        <v>143</v>
      </c>
      <c r="C16" s="35" t="s">
        <v>144</v>
      </c>
      <c r="D16" s="35" t="s">
        <v>145</v>
      </c>
      <c r="E16" s="35">
        <v>-19.54</v>
      </c>
      <c r="F16" s="34">
        <v>42577</v>
      </c>
    </row>
    <row r="17" spans="1:6" ht="15.75" x14ac:dyDescent="0.25">
      <c r="A17" s="35">
        <v>527120</v>
      </c>
      <c r="B17" s="35" t="s">
        <v>143</v>
      </c>
      <c r="C17" s="35" t="s">
        <v>144</v>
      </c>
      <c r="D17" s="35" t="s">
        <v>145</v>
      </c>
      <c r="E17" s="35">
        <v>-5.04</v>
      </c>
      <c r="F17" s="34">
        <v>42577</v>
      </c>
    </row>
    <row r="18" spans="1:6" ht="15.75" x14ac:dyDescent="0.25">
      <c r="A18" s="35">
        <v>558979</v>
      </c>
      <c r="B18" s="35" t="s">
        <v>150</v>
      </c>
      <c r="C18" s="35" t="s">
        <v>151</v>
      </c>
      <c r="D18" s="35" t="s">
        <v>152</v>
      </c>
      <c r="E18" s="35">
        <v>225</v>
      </c>
      <c r="F18" s="34">
        <v>42579</v>
      </c>
    </row>
    <row r="19" spans="1:6" ht="15.75" x14ac:dyDescent="0.25">
      <c r="A19" s="35">
        <v>558979</v>
      </c>
      <c r="B19" s="35" t="s">
        <v>150</v>
      </c>
      <c r="C19" s="35" t="s">
        <v>153</v>
      </c>
      <c r="D19" s="35" t="s">
        <v>154</v>
      </c>
      <c r="E19" s="35">
        <v>200</v>
      </c>
      <c r="F19" s="34">
        <v>42579</v>
      </c>
    </row>
    <row r="20" spans="1:6" ht="15.75" x14ac:dyDescent="0.25">
      <c r="A20" s="35">
        <v>558979</v>
      </c>
      <c r="B20" s="35" t="s">
        <v>150</v>
      </c>
      <c r="C20" s="35" t="s">
        <v>155</v>
      </c>
      <c r="D20" s="35" t="s">
        <v>156</v>
      </c>
      <c r="E20" s="35">
        <v>650</v>
      </c>
      <c r="F20" s="34">
        <v>42579</v>
      </c>
    </row>
    <row r="21" spans="1:6" ht="15.75" x14ac:dyDescent="0.25">
      <c r="A21" s="35">
        <v>558979</v>
      </c>
      <c r="B21" s="35" t="s">
        <v>150</v>
      </c>
      <c r="C21" s="35" t="s">
        <v>157</v>
      </c>
      <c r="D21" s="35" t="s">
        <v>158</v>
      </c>
      <c r="E21" s="35">
        <v>400</v>
      </c>
      <c r="F21" s="34">
        <v>42579</v>
      </c>
    </row>
    <row r="22" spans="1:6" ht="15.75" x14ac:dyDescent="0.25">
      <c r="A22" s="35">
        <v>558979</v>
      </c>
      <c r="B22" s="35" t="s">
        <v>150</v>
      </c>
      <c r="C22" s="35" t="s">
        <v>159</v>
      </c>
      <c r="D22" s="35" t="s">
        <v>160</v>
      </c>
      <c r="E22" s="35">
        <v>200</v>
      </c>
      <c r="F22" s="34">
        <v>42579</v>
      </c>
    </row>
    <row r="23" spans="1:6" ht="15.75" x14ac:dyDescent="0.25">
      <c r="A23" s="35">
        <v>558979</v>
      </c>
      <c r="B23" s="35" t="s">
        <v>150</v>
      </c>
      <c r="C23" s="35" t="s">
        <v>161</v>
      </c>
      <c r="D23" s="35" t="s">
        <v>162</v>
      </c>
      <c r="E23" s="35">
        <v>200</v>
      </c>
      <c r="F23" s="34">
        <v>42579</v>
      </c>
    </row>
    <row r="24" spans="1:6" ht="15.75" x14ac:dyDescent="0.25">
      <c r="A24" s="35">
        <v>558979</v>
      </c>
      <c r="B24" s="35" t="s">
        <v>150</v>
      </c>
      <c r="C24" s="35" t="s">
        <v>163</v>
      </c>
      <c r="D24" s="35" t="s">
        <v>164</v>
      </c>
      <c r="E24" s="35">
        <v>200</v>
      </c>
      <c r="F24" s="34">
        <v>42579</v>
      </c>
    </row>
    <row r="25" spans="1:6" ht="15.75" x14ac:dyDescent="0.25">
      <c r="A25" s="35">
        <v>511120</v>
      </c>
      <c r="B25" s="35" t="s">
        <v>6</v>
      </c>
      <c r="C25" s="35" t="s">
        <v>165</v>
      </c>
      <c r="D25" s="35" t="s">
        <v>166</v>
      </c>
      <c r="E25" s="35">
        <v>833.33</v>
      </c>
      <c r="F25" s="34">
        <v>42580</v>
      </c>
    </row>
    <row r="26" spans="1:6" ht="15.75" x14ac:dyDescent="0.25">
      <c r="A26" s="35">
        <v>511120</v>
      </c>
      <c r="B26" s="35" t="s">
        <v>6</v>
      </c>
      <c r="C26" s="35" t="s">
        <v>165</v>
      </c>
      <c r="D26" s="35" t="s">
        <v>166</v>
      </c>
      <c r="E26" s="35">
        <v>5250</v>
      </c>
      <c r="F26" s="34">
        <v>42580</v>
      </c>
    </row>
    <row r="27" spans="1:6" ht="15.75" x14ac:dyDescent="0.25">
      <c r="A27" s="35">
        <v>515120</v>
      </c>
      <c r="B27" s="35" t="s">
        <v>9</v>
      </c>
      <c r="C27" s="35" t="s">
        <v>165</v>
      </c>
      <c r="D27" s="35" t="s">
        <v>166</v>
      </c>
      <c r="E27" s="35">
        <v>373.88</v>
      </c>
      <c r="F27" s="34">
        <v>42580</v>
      </c>
    </row>
    <row r="28" spans="1:6" ht="15.75" x14ac:dyDescent="0.25">
      <c r="A28" s="35">
        <v>515130</v>
      </c>
      <c r="B28" s="35" t="s">
        <v>10</v>
      </c>
      <c r="C28" s="35" t="s">
        <v>165</v>
      </c>
      <c r="D28" s="35" t="s">
        <v>166</v>
      </c>
      <c r="E28" s="35">
        <v>87.44</v>
      </c>
      <c r="F28" s="34">
        <v>42580</v>
      </c>
    </row>
    <row r="29" spans="1:6" ht="15.75" x14ac:dyDescent="0.25">
      <c r="A29" s="35">
        <v>515410</v>
      </c>
      <c r="B29" s="35" t="s">
        <v>11</v>
      </c>
      <c r="C29" s="35" t="s">
        <v>165</v>
      </c>
      <c r="D29" s="35" t="s">
        <v>166</v>
      </c>
      <c r="E29" s="35">
        <v>416.1</v>
      </c>
      <c r="F29" s="34">
        <v>42580</v>
      </c>
    </row>
    <row r="30" spans="1:6" ht="15.75" x14ac:dyDescent="0.25">
      <c r="A30" s="35">
        <v>515420</v>
      </c>
      <c r="B30" s="35" t="s">
        <v>12</v>
      </c>
      <c r="C30" s="35" t="s">
        <v>165</v>
      </c>
      <c r="D30" s="35" t="s">
        <v>166</v>
      </c>
      <c r="E30" s="35">
        <v>363.78</v>
      </c>
      <c r="F30" s="34">
        <v>42580</v>
      </c>
    </row>
    <row r="31" spans="1:6" ht="15.75" x14ac:dyDescent="0.25">
      <c r="A31" s="35">
        <v>515530</v>
      </c>
      <c r="B31" s="35" t="s">
        <v>13</v>
      </c>
      <c r="C31" s="35" t="s">
        <v>165</v>
      </c>
      <c r="D31" s="35" t="s">
        <v>166</v>
      </c>
      <c r="E31" s="35">
        <v>463.68</v>
      </c>
      <c r="F31" s="34">
        <v>42580</v>
      </c>
    </row>
    <row r="32" spans="1:6" ht="15.75" x14ac:dyDescent="0.25">
      <c r="A32" s="35">
        <v>527120</v>
      </c>
      <c r="B32" s="35" t="s">
        <v>143</v>
      </c>
      <c r="C32" s="35" t="s">
        <v>144</v>
      </c>
      <c r="D32" s="35" t="s">
        <v>145</v>
      </c>
      <c r="E32" s="35">
        <v>-19.54</v>
      </c>
      <c r="F32" s="34">
        <v>42580</v>
      </c>
    </row>
    <row r="33" spans="1:6" ht="15.75" x14ac:dyDescent="0.25">
      <c r="A33" s="35">
        <v>527120</v>
      </c>
      <c r="B33" s="35" t="s">
        <v>143</v>
      </c>
      <c r="C33" s="35" t="s">
        <v>144</v>
      </c>
      <c r="D33" s="35" t="s">
        <v>145</v>
      </c>
      <c r="E33" s="35">
        <v>-5.04</v>
      </c>
      <c r="F33" s="34">
        <v>42580</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E9A86-76CD-4520-903A-01AFC09A7600}">
  <dimension ref="A1:L138"/>
  <sheetViews>
    <sheetView topLeftCell="C19" zoomScale="90" zoomScaleNormal="90" workbookViewId="0">
      <selection activeCell="D35" sqref="D35"/>
    </sheetView>
  </sheetViews>
  <sheetFormatPr defaultRowHeight="15" x14ac:dyDescent="0.25"/>
  <cols>
    <col min="1" max="1" width="3.28515625" style="36" customWidth="1"/>
    <col min="2" max="6" width="40.7109375" style="36" customWidth="1"/>
    <col min="7" max="7" width="3.28515625" style="36" customWidth="1"/>
    <col min="8" max="10" width="9.140625" style="36"/>
    <col min="11" max="12" width="11.5703125" style="36" bestFit="1" customWidth="1"/>
    <col min="13" max="16384" width="9.140625" style="36"/>
  </cols>
  <sheetData>
    <row r="1" spans="1:7" ht="15.75" thickBot="1" x14ac:dyDescent="0.3">
      <c r="A1" s="371" t="b">
        <f>IF(($E$129+$E$130)=(SUM('FY2020 March Transactions'!E:E)),TRUE,FALSE)</f>
        <v>1</v>
      </c>
      <c r="B1" s="372"/>
      <c r="C1" s="372"/>
      <c r="D1" s="372"/>
      <c r="E1" s="372"/>
      <c r="F1" s="372"/>
      <c r="G1" s="373"/>
    </row>
    <row r="2" spans="1:7" ht="26.25" customHeight="1" x14ac:dyDescent="0.25">
      <c r="A2" s="374" t="b">
        <f>IF(($E$129+$E$130)=(SUM('FY2020 March Transactions'!E:E)),TRUE,FALSE)</f>
        <v>1</v>
      </c>
      <c r="B2" s="350" t="s">
        <v>2562</v>
      </c>
      <c r="C2" s="351"/>
      <c r="D2" s="351"/>
      <c r="E2" s="351"/>
      <c r="F2" s="352"/>
      <c r="G2" s="374" t="b">
        <f>IF(($E$129+$E$130)=(SUM('FY2020 March Transactions'!E:E)),TRUE,FALSE)</f>
        <v>1</v>
      </c>
    </row>
    <row r="3" spans="1:7" ht="26.25" customHeight="1" x14ac:dyDescent="0.25">
      <c r="A3" s="374"/>
      <c r="B3" s="353"/>
      <c r="C3" s="354"/>
      <c r="D3" s="354"/>
      <c r="E3" s="354"/>
      <c r="F3" s="355"/>
      <c r="G3" s="374"/>
    </row>
    <row r="4" spans="1:7" ht="15.75" x14ac:dyDescent="0.25">
      <c r="A4" s="374"/>
      <c r="B4" s="328" t="s">
        <v>53</v>
      </c>
      <c r="C4" s="329" t="s">
        <v>54</v>
      </c>
      <c r="D4" s="329" t="s">
        <v>2111</v>
      </c>
      <c r="E4" s="329" t="s">
        <v>168</v>
      </c>
      <c r="F4" s="330" t="s">
        <v>2112</v>
      </c>
      <c r="G4" s="374"/>
    </row>
    <row r="5" spans="1:7" ht="15.75" x14ac:dyDescent="0.25">
      <c r="A5" s="374"/>
      <c r="B5" s="11"/>
      <c r="C5" s="1"/>
      <c r="D5" s="1"/>
      <c r="E5" s="1"/>
      <c r="F5" s="12"/>
      <c r="G5" s="374"/>
    </row>
    <row r="6" spans="1:7" ht="15.75" x14ac:dyDescent="0.25">
      <c r="A6" s="374"/>
      <c r="B6" s="344" t="s">
        <v>1979</v>
      </c>
      <c r="C6" s="345"/>
      <c r="D6" s="345"/>
      <c r="E6" s="345"/>
      <c r="F6" s="346"/>
      <c r="G6" s="374"/>
    </row>
    <row r="7" spans="1:7" ht="15.75" x14ac:dyDescent="0.25">
      <c r="A7" s="374"/>
      <c r="B7" s="11"/>
      <c r="C7" s="1"/>
      <c r="D7" s="1"/>
      <c r="E7" s="1"/>
      <c r="F7" s="12"/>
      <c r="G7" s="374"/>
    </row>
    <row r="8" spans="1:7" x14ac:dyDescent="0.25">
      <c r="A8" s="374"/>
      <c r="B8" s="80" t="s">
        <v>132</v>
      </c>
      <c r="C8" s="81"/>
      <c r="D8" s="81"/>
      <c r="E8" s="81"/>
      <c r="F8" s="82"/>
      <c r="G8" s="374"/>
    </row>
    <row r="9" spans="1:7" ht="15.75" x14ac:dyDescent="0.25">
      <c r="A9" s="374"/>
      <c r="B9" s="11"/>
      <c r="C9" s="1"/>
      <c r="D9" s="1"/>
      <c r="E9" s="1"/>
      <c r="F9" s="12"/>
      <c r="G9" s="374"/>
    </row>
    <row r="10" spans="1:7" x14ac:dyDescent="0.25">
      <c r="A10" s="374"/>
      <c r="B10" s="13" t="s">
        <v>133</v>
      </c>
      <c r="C10" s="2"/>
      <c r="D10" s="2"/>
      <c r="E10" s="2"/>
      <c r="F10" s="14"/>
      <c r="G10" s="374"/>
    </row>
    <row r="11" spans="1:7" ht="15.75" x14ac:dyDescent="0.25">
      <c r="A11" s="374"/>
      <c r="B11" s="11"/>
      <c r="C11" s="3" t="s">
        <v>134</v>
      </c>
      <c r="D11" s="4">
        <f>'FY2020 February Account'!F11</f>
        <v>301553.14</v>
      </c>
      <c r="E11" s="4">
        <f>E131</f>
        <v>-154119.1</v>
      </c>
      <c r="F11" s="15">
        <f>(D11+E11)</f>
        <v>147434.04</v>
      </c>
      <c r="G11" s="374"/>
    </row>
    <row r="12" spans="1:7" x14ac:dyDescent="0.25">
      <c r="A12" s="374"/>
      <c r="B12" s="16" t="s">
        <v>136</v>
      </c>
      <c r="C12" s="2"/>
      <c r="D12" s="5">
        <f>'FY2020 February Account'!F12</f>
        <v>301553.14</v>
      </c>
      <c r="E12" s="5">
        <f>SUM(E11:E11)</f>
        <v>-154119.1</v>
      </c>
      <c r="F12" s="17">
        <f>(D12+E12)</f>
        <v>147434.04</v>
      </c>
      <c r="G12" s="374"/>
    </row>
    <row r="13" spans="1:7" ht="15.75" x14ac:dyDescent="0.25">
      <c r="A13" s="374"/>
      <c r="B13" s="11"/>
      <c r="C13" s="1"/>
      <c r="D13" s="1"/>
      <c r="E13" s="1"/>
      <c r="F13" s="12"/>
      <c r="G13" s="374"/>
    </row>
    <row r="14" spans="1:7" x14ac:dyDescent="0.25">
      <c r="A14" s="374"/>
      <c r="B14" s="13" t="s">
        <v>139</v>
      </c>
      <c r="C14" s="2"/>
      <c r="D14" s="2"/>
      <c r="E14" s="2"/>
      <c r="F14" s="14"/>
      <c r="G14" s="374"/>
    </row>
    <row r="15" spans="1:7" ht="15.75" x14ac:dyDescent="0.25">
      <c r="A15" s="374"/>
      <c r="B15" s="11"/>
      <c r="C15" s="3" t="s">
        <v>135</v>
      </c>
      <c r="D15" s="4">
        <f>'FY2020 February Account'!F15</f>
        <v>452.02</v>
      </c>
      <c r="E15" s="4">
        <f>E75</f>
        <v>0</v>
      </c>
      <c r="F15" s="15">
        <f>(D15+E15)</f>
        <v>452.02</v>
      </c>
      <c r="G15" s="374"/>
    </row>
    <row r="16" spans="1:7" ht="15.75" x14ac:dyDescent="0.25">
      <c r="A16" s="374"/>
      <c r="B16" s="11"/>
      <c r="C16" s="3" t="s">
        <v>140</v>
      </c>
      <c r="D16" s="4">
        <f>'FY2020 February Account'!F16</f>
        <v>0</v>
      </c>
      <c r="E16" s="4">
        <v>0</v>
      </c>
      <c r="F16" s="15">
        <f>(D16+E16)</f>
        <v>0</v>
      </c>
      <c r="G16" s="374"/>
    </row>
    <row r="17" spans="1:7" x14ac:dyDescent="0.25">
      <c r="A17" s="374"/>
      <c r="B17" s="16" t="s">
        <v>137</v>
      </c>
      <c r="C17" s="2"/>
      <c r="D17" s="5">
        <f>'FY2020 February Account'!F17</f>
        <v>452.02</v>
      </c>
      <c r="E17" s="5">
        <f>SUM(E15:E16)</f>
        <v>0</v>
      </c>
      <c r="F17" s="17">
        <f>(D17+E17)</f>
        <v>452.02</v>
      </c>
      <c r="G17" s="374"/>
    </row>
    <row r="18" spans="1:7" ht="15.75" x14ac:dyDescent="0.25">
      <c r="A18" s="374"/>
      <c r="B18" s="11"/>
      <c r="C18" s="1"/>
      <c r="D18" s="1"/>
      <c r="E18" s="1"/>
      <c r="F18" s="12"/>
      <c r="G18" s="374"/>
    </row>
    <row r="19" spans="1:7" x14ac:dyDescent="0.25">
      <c r="A19" s="374"/>
      <c r="B19" s="83" t="s">
        <v>138</v>
      </c>
      <c r="C19" s="84"/>
      <c r="D19" s="85">
        <f>'FY2020 February Account'!F19</f>
        <v>302005.15999999997</v>
      </c>
      <c r="E19" s="85">
        <f>SUM(E12,E17)</f>
        <v>-154119.1</v>
      </c>
      <c r="F19" s="86">
        <f>(D19+E19)</f>
        <v>147886.05999999997</v>
      </c>
      <c r="G19" s="374"/>
    </row>
    <row r="20" spans="1:7" ht="15.75" x14ac:dyDescent="0.25">
      <c r="A20" s="374"/>
      <c r="B20" s="11"/>
      <c r="C20" s="1"/>
      <c r="D20" s="1"/>
      <c r="E20" s="1"/>
      <c r="F20" s="12"/>
      <c r="G20" s="374"/>
    </row>
    <row r="21" spans="1:7" x14ac:dyDescent="0.25">
      <c r="A21" s="374"/>
      <c r="B21" s="73" t="s">
        <v>55</v>
      </c>
      <c r="C21" s="74"/>
      <c r="D21" s="74"/>
      <c r="E21" s="74"/>
      <c r="F21" s="75"/>
      <c r="G21" s="374"/>
    </row>
    <row r="22" spans="1:7" ht="15.75" x14ac:dyDescent="0.25">
      <c r="A22" s="374"/>
      <c r="B22" s="11"/>
      <c r="C22" s="1"/>
      <c r="D22" s="1"/>
      <c r="E22" s="1"/>
      <c r="F22" s="12"/>
      <c r="G22" s="374"/>
    </row>
    <row r="23" spans="1:7" x14ac:dyDescent="0.25">
      <c r="A23" s="374"/>
      <c r="B23" s="13" t="s">
        <v>56</v>
      </c>
      <c r="C23" s="2"/>
      <c r="D23" s="2"/>
      <c r="E23" s="2"/>
      <c r="F23" s="14"/>
      <c r="G23" s="374"/>
    </row>
    <row r="24" spans="1:7" ht="15.75" x14ac:dyDescent="0.25">
      <c r="A24" s="374"/>
      <c r="B24" s="11"/>
      <c r="C24" s="3" t="s">
        <v>57</v>
      </c>
      <c r="D24" s="4">
        <f>'FY2020 February Account'!F24</f>
        <v>204935.30000000002</v>
      </c>
      <c r="E24" s="4">
        <f>SUMIFS(TraFY2020Mar1[[ Amount]],TraFY2020Mar1[[ Acct Desc]], "Transfer In*") + SUMIFS(TraFY2020Mar1[[ Amount]],TraFY2020Mar1[[ Acct Desc]], "ASG FEE*")</f>
        <v>5408</v>
      </c>
      <c r="F24" s="15">
        <f>(D24+E24)</f>
        <v>210343.30000000002</v>
      </c>
      <c r="G24" s="374"/>
    </row>
    <row r="25" spans="1:7" ht="15.75" x14ac:dyDescent="0.25">
      <c r="A25" s="374"/>
      <c r="B25" s="11"/>
      <c r="C25" s="3" t="s">
        <v>129</v>
      </c>
      <c r="D25" s="4">
        <f>'FY2020 February Account'!F25</f>
        <v>2849.3900000000003</v>
      </c>
      <c r="E25" s="4">
        <f>SUMIFS(TraFY2020Mar1[[ Amount]],TraFY2020Mar1[[ Acct Desc]], "*Income*")</f>
        <v>221.68</v>
      </c>
      <c r="F25" s="15">
        <f>(D25+E25)</f>
        <v>3071.07</v>
      </c>
      <c r="G25" s="374"/>
    </row>
    <row r="26" spans="1:7" ht="15.75" x14ac:dyDescent="0.25">
      <c r="A26" s="374"/>
      <c r="B26" s="11"/>
      <c r="C26" s="3" t="s">
        <v>2019</v>
      </c>
      <c r="D26" s="4">
        <f>'FY2020 February Account'!F26</f>
        <v>0</v>
      </c>
      <c r="E26" s="4">
        <v>0</v>
      </c>
      <c r="F26" s="15">
        <f>(D26+E26)</f>
        <v>0</v>
      </c>
      <c r="G26" s="374"/>
    </row>
    <row r="27" spans="1:7" x14ac:dyDescent="0.25">
      <c r="A27" s="374"/>
      <c r="B27" s="16" t="s">
        <v>58</v>
      </c>
      <c r="C27" s="2"/>
      <c r="D27" s="5">
        <f>'FY2020 February Account'!F27</f>
        <v>207784.69</v>
      </c>
      <c r="E27" s="5">
        <f>SUM(E24:E26)</f>
        <v>5629.68</v>
      </c>
      <c r="F27" s="17">
        <f>(D27+E27)</f>
        <v>213414.37</v>
      </c>
      <c r="G27" s="374"/>
    </row>
    <row r="28" spans="1:7" ht="15.75" x14ac:dyDescent="0.25">
      <c r="A28" s="374"/>
      <c r="B28" s="11"/>
      <c r="C28" s="1"/>
      <c r="D28" s="1"/>
      <c r="E28" s="1"/>
      <c r="F28" s="12"/>
      <c r="G28" s="374"/>
    </row>
    <row r="29" spans="1:7" x14ac:dyDescent="0.25">
      <c r="A29" s="374"/>
      <c r="B29" s="13" t="s">
        <v>59</v>
      </c>
      <c r="C29" s="2"/>
      <c r="D29" s="2"/>
      <c r="E29" s="2"/>
      <c r="F29" s="14"/>
      <c r="G29" s="374"/>
    </row>
    <row r="30" spans="1:7" ht="15.75" x14ac:dyDescent="0.25">
      <c r="A30" s="374"/>
      <c r="B30" s="11"/>
      <c r="C30" s="3" t="s">
        <v>60</v>
      </c>
      <c r="D30" s="4">
        <f>'FY2020 February Account'!F30</f>
        <v>0</v>
      </c>
      <c r="E30" s="4">
        <v>0</v>
      </c>
      <c r="F30" s="15">
        <f>(D30+E30)</f>
        <v>0</v>
      </c>
      <c r="G30" s="374"/>
    </row>
    <row r="31" spans="1:7" ht="15.75" x14ac:dyDescent="0.25">
      <c r="A31" s="374"/>
      <c r="B31" s="11"/>
      <c r="C31" s="3" t="s">
        <v>2018</v>
      </c>
      <c r="D31" s="4">
        <f>'FY2020 February Account'!F31</f>
        <v>421</v>
      </c>
      <c r="E31" s="4"/>
      <c r="F31" s="15">
        <f>(D31+E31)</f>
        <v>421</v>
      </c>
      <c r="G31" s="374"/>
    </row>
    <row r="32" spans="1:7" x14ac:dyDescent="0.25">
      <c r="A32" s="374"/>
      <c r="B32" s="16" t="s">
        <v>61</v>
      </c>
      <c r="C32" s="2"/>
      <c r="D32" s="5">
        <f>'FY2020 February Account'!F32</f>
        <v>421</v>
      </c>
      <c r="E32" s="5">
        <f>SUM(E30:E31)</f>
        <v>0</v>
      </c>
      <c r="F32" s="17">
        <f>(D32+E32)</f>
        <v>421</v>
      </c>
      <c r="G32" s="374"/>
    </row>
    <row r="33" spans="1:7" ht="15.75" x14ac:dyDescent="0.25">
      <c r="A33" s="374"/>
      <c r="B33" s="11"/>
      <c r="C33" s="1"/>
      <c r="D33" s="1"/>
      <c r="E33" s="1"/>
      <c r="F33" s="12"/>
      <c r="G33" s="374"/>
    </row>
    <row r="34" spans="1:7" x14ac:dyDescent="0.25">
      <c r="A34" s="374"/>
      <c r="B34" s="76" t="s">
        <v>62</v>
      </c>
      <c r="C34" s="77"/>
      <c r="D34" s="78">
        <f>'FY2020 February Account'!F34</f>
        <v>208205.69</v>
      </c>
      <c r="E34" s="78">
        <f>SUM(E27,E32)</f>
        <v>5629.68</v>
      </c>
      <c r="F34" s="79">
        <f>(D34+E34)</f>
        <v>213835.37</v>
      </c>
      <c r="G34" s="374"/>
    </row>
    <row r="35" spans="1:7" ht="15.75" x14ac:dyDescent="0.25">
      <c r="A35" s="374"/>
      <c r="B35" s="11"/>
      <c r="C35" s="1"/>
      <c r="D35" s="1"/>
      <c r="E35" s="1"/>
      <c r="F35" s="12"/>
      <c r="G35" s="374"/>
    </row>
    <row r="36" spans="1:7" ht="15.75" x14ac:dyDescent="0.25">
      <c r="A36" s="374"/>
      <c r="B36" s="344" t="s">
        <v>169</v>
      </c>
      <c r="C36" s="345"/>
      <c r="D36" s="345"/>
      <c r="E36" s="345"/>
      <c r="F36" s="346"/>
      <c r="G36" s="374"/>
    </row>
    <row r="37" spans="1:7" ht="15.75" x14ac:dyDescent="0.25">
      <c r="A37" s="374"/>
      <c r="B37" s="11"/>
      <c r="C37" s="1"/>
      <c r="D37" s="1"/>
      <c r="E37" s="1"/>
      <c r="F37" s="12"/>
      <c r="G37" s="374"/>
    </row>
    <row r="38" spans="1:7" x14ac:dyDescent="0.25">
      <c r="A38" s="374"/>
      <c r="B38" s="66" t="s">
        <v>63</v>
      </c>
      <c r="C38" s="67"/>
      <c r="D38" s="67"/>
      <c r="E38" s="67"/>
      <c r="F38" s="68"/>
      <c r="G38" s="374"/>
    </row>
    <row r="39" spans="1:7" x14ac:dyDescent="0.25">
      <c r="A39" s="374"/>
      <c r="B39" s="18"/>
      <c r="C39" s="3"/>
      <c r="D39" s="3"/>
      <c r="E39" s="3"/>
      <c r="F39" s="19"/>
      <c r="G39" s="374"/>
    </row>
    <row r="40" spans="1:7" x14ac:dyDescent="0.25">
      <c r="A40" s="374"/>
      <c r="B40" s="13" t="s">
        <v>64</v>
      </c>
      <c r="C40" s="2"/>
      <c r="D40" s="2"/>
      <c r="E40" s="2"/>
      <c r="F40" s="14"/>
      <c r="G40" s="374"/>
    </row>
    <row r="41" spans="1:7" x14ac:dyDescent="0.25">
      <c r="A41" s="374"/>
      <c r="B41" s="20"/>
      <c r="C41" s="3" t="s">
        <v>65</v>
      </c>
      <c r="D41" s="4">
        <f>'FY2020 February Account'!F41</f>
        <v>1950</v>
      </c>
      <c r="E41" s="4">
        <f>SUMIFS(TraFY2020Mar1[[ Amount]],TraFY2020Mar1[[ Description]], "*ADAM SCHMIDT*", TraFY2020Mar1[[ Acct Desc]], "Participant Stipends")</f>
        <v>650</v>
      </c>
      <c r="F41" s="15">
        <f>(D41-E41)</f>
        <v>1300</v>
      </c>
      <c r="G41" s="374"/>
    </row>
    <row r="42" spans="1:7" x14ac:dyDescent="0.25">
      <c r="A42" s="374"/>
      <c r="B42" s="20"/>
      <c r="C42" s="3" t="s">
        <v>66</v>
      </c>
      <c r="D42" s="4">
        <f>'FY2020 February Account'!F42</f>
        <v>1200</v>
      </c>
      <c r="E42" s="4">
        <f>SUMIFS(TraFY2020Mar1[[ Amount]],TraFY2020Mar1[[ Description]], "*RAEKWON L. DAVIS*", TraFY2020Mar1[[ Acct Desc]], "Participant Stipends")</f>
        <v>400</v>
      </c>
      <c r="F42" s="15">
        <f t="shared" ref="F42:F49" si="0">(D42-E42)</f>
        <v>800</v>
      </c>
      <c r="G42" s="374"/>
    </row>
    <row r="43" spans="1:7" x14ac:dyDescent="0.25">
      <c r="A43" s="374"/>
      <c r="B43" s="20"/>
      <c r="C43" s="3" t="s">
        <v>67</v>
      </c>
      <c r="D43" s="4">
        <f>'FY2020 February Account'!F43</f>
        <v>675</v>
      </c>
      <c r="E43" s="4">
        <f>SUMIFS(TraFY2020Mar1[[ Amount]],TraFY2020Mar1[[ Description]], "*RYAN DUNN*", TraFY2020Mar1[[ Acct Desc]], "Participant Stipends")</f>
        <v>225</v>
      </c>
      <c r="F43" s="15">
        <f t="shared" si="0"/>
        <v>450</v>
      </c>
      <c r="G43" s="374"/>
    </row>
    <row r="44" spans="1:7" x14ac:dyDescent="0.25">
      <c r="A44" s="374"/>
      <c r="B44" s="20"/>
      <c r="C44" s="3" t="s">
        <v>68</v>
      </c>
      <c r="D44" s="4">
        <f>'FY2020 February Account'!F44</f>
        <v>600</v>
      </c>
      <c r="E44" s="4">
        <f>SUMIFS(TraFY2020Mar1[[ Amount]],TraFY2020Mar1[[ Description]], "*NATHANIEL BLAKE JACOBS*", TraFY2020Mar1[[ Acct Desc]], "Participant Stipends")</f>
        <v>200</v>
      </c>
      <c r="F44" s="15">
        <f t="shared" si="0"/>
        <v>400</v>
      </c>
      <c r="G44" s="374"/>
    </row>
    <row r="45" spans="1:7" x14ac:dyDescent="0.25">
      <c r="A45" s="374"/>
      <c r="B45" s="20"/>
      <c r="C45" s="3" t="s">
        <v>69</v>
      </c>
      <c r="D45" s="4">
        <f>'FY2020 February Account'!F45</f>
        <v>600</v>
      </c>
      <c r="E45" s="4">
        <f>SUMIFS(TraFY2020Mar1[[ Amount]],TraFY2020Mar1[[ Description]], "*MEARS*", TraFY2020Mar1[[ Acct Desc]], "Participant Stipends")</f>
        <v>200</v>
      </c>
      <c r="F45" s="15">
        <f t="shared" si="0"/>
        <v>400</v>
      </c>
      <c r="G45" s="374"/>
    </row>
    <row r="46" spans="1:7" x14ac:dyDescent="0.25">
      <c r="A46" s="374"/>
      <c r="B46" s="20"/>
      <c r="C46" s="3" t="s">
        <v>70</v>
      </c>
      <c r="D46" s="4">
        <f>'FY2020 February Account'!F46</f>
        <v>600</v>
      </c>
      <c r="E46" s="4">
        <f>SUMIFS(TraFY2020Mar1[[ Amount]],TraFY2020Mar1[[ Description]], "*OLIVIA TARPLEY*", TraFY2020Mar1[[ Acct Desc]], "Participant Stipends")</f>
        <v>200</v>
      </c>
      <c r="F46" s="15">
        <f t="shared" si="0"/>
        <v>400</v>
      </c>
      <c r="G46" s="374"/>
    </row>
    <row r="47" spans="1:7" x14ac:dyDescent="0.25">
      <c r="A47" s="374"/>
      <c r="B47" s="20"/>
      <c r="C47" s="3" t="s">
        <v>71</v>
      </c>
      <c r="D47" s="4">
        <f>'FY2020 February Account'!F47</f>
        <v>600</v>
      </c>
      <c r="E47" s="4">
        <f>SUMIFS(TraFY2020Mar1[[ Amount]],TraFY2020Mar1[[ Description]], "*JACOB NEWTON*", TraFY2020Mar1[[ Acct Desc]], "Participant Stipends")</f>
        <v>200</v>
      </c>
      <c r="F47" s="15">
        <f t="shared" si="0"/>
        <v>400</v>
      </c>
      <c r="G47" s="374"/>
    </row>
    <row r="48" spans="1:7" x14ac:dyDescent="0.25">
      <c r="A48" s="374"/>
      <c r="B48" s="20"/>
      <c r="C48" s="3" t="s">
        <v>72</v>
      </c>
      <c r="D48" s="4">
        <f>'FY2020 February Account'!F48</f>
        <v>600</v>
      </c>
      <c r="E48" s="4">
        <f>SUMIFS(TraFY2020Mar1[[ Amount]],TraFY2020Mar1[[ Description]], "*AVERY WALTER*", TraFY2020Mar1[[ Acct Desc]], "Participant Stipends")</f>
        <v>200</v>
      </c>
      <c r="F48" s="15">
        <f t="shared" si="0"/>
        <v>400</v>
      </c>
      <c r="G48" s="374"/>
    </row>
    <row r="49" spans="1:7" x14ac:dyDescent="0.25">
      <c r="A49" s="374"/>
      <c r="B49" s="20"/>
      <c r="C49" s="3" t="s">
        <v>73</v>
      </c>
      <c r="D49" s="4">
        <f>'FY2020 February Account'!F49</f>
        <v>600</v>
      </c>
      <c r="E49" s="4">
        <f>SUMIFS(TraFY2020Mar1[[ Amount]],TraFY2020Mar1[[ Description]], "*SKYE GREGG*", TraFY2020Mar1[[ Acct Desc]], "Participant Stipends")</f>
        <v>200</v>
      </c>
      <c r="F49" s="15">
        <f t="shared" si="0"/>
        <v>400</v>
      </c>
      <c r="G49" s="374"/>
    </row>
    <row r="50" spans="1:7" x14ac:dyDescent="0.25">
      <c r="A50" s="374"/>
      <c r="B50" s="16" t="s">
        <v>74</v>
      </c>
      <c r="C50" s="2"/>
      <c r="D50" s="5">
        <f>'FY2020 February Account'!F50</f>
        <v>7425</v>
      </c>
      <c r="E50" s="6">
        <f>SUM(E41:E49)</f>
        <v>2475</v>
      </c>
      <c r="F50" s="21">
        <f>(D50-E50)</f>
        <v>4950</v>
      </c>
      <c r="G50" s="374"/>
    </row>
    <row r="51" spans="1:7" x14ac:dyDescent="0.25">
      <c r="A51" s="374"/>
      <c r="B51" s="20"/>
      <c r="C51" s="3"/>
      <c r="D51" s="3"/>
      <c r="E51" s="3"/>
      <c r="F51" s="19"/>
      <c r="G51" s="374"/>
    </row>
    <row r="52" spans="1:7" x14ac:dyDescent="0.25">
      <c r="A52" s="374"/>
      <c r="B52" s="13" t="s">
        <v>75</v>
      </c>
      <c r="C52" s="2"/>
      <c r="D52" s="2"/>
      <c r="E52" s="2"/>
      <c r="F52" s="14"/>
      <c r="G52" s="374"/>
    </row>
    <row r="53" spans="1:7" x14ac:dyDescent="0.25">
      <c r="A53" s="374"/>
      <c r="B53" s="20"/>
      <c r="C53" s="3" t="s">
        <v>76</v>
      </c>
      <c r="D53" s="4">
        <f>'FY2020 February Account'!F53</f>
        <v>17666.880000000005</v>
      </c>
      <c r="E53" s="4">
        <f>SUMIFS(TraFY2020Mar1[[ Amount]],TraFY2020Mar1[[ Acct Desc]], "EHRA*")</f>
        <v>4416.6400000000003</v>
      </c>
      <c r="F53" s="15">
        <f>(D53-E53)</f>
        <v>13250.240000000005</v>
      </c>
      <c r="G53" s="374"/>
    </row>
    <row r="54" spans="1:7" x14ac:dyDescent="0.25">
      <c r="A54" s="374"/>
      <c r="B54" s="20"/>
      <c r="C54" s="3" t="s">
        <v>77</v>
      </c>
      <c r="D54" s="4">
        <f>'FY2020 February Account'!F54</f>
        <v>4393.6999999999971</v>
      </c>
      <c r="E54" s="4">
        <f>SUMIFS(TraFY2020Mar1[[ Amount]],TraFY2020Mar1[[ Acct Desc]], "ORP-TIAA Ret*")</f>
        <v>302.10000000000002</v>
      </c>
      <c r="F54" s="15">
        <f t="shared" ref="F54:F57" si="1">(D54-E54)</f>
        <v>4091.5999999999972</v>
      </c>
      <c r="G54" s="374"/>
    </row>
    <row r="55" spans="1:7" x14ac:dyDescent="0.25">
      <c r="A55" s="374"/>
      <c r="B55" s="20"/>
      <c r="C55" s="3" t="s">
        <v>78</v>
      </c>
      <c r="D55" s="4">
        <f>'FY2020 February Account'!F55</f>
        <v>428.91999999999939</v>
      </c>
      <c r="E55" s="4">
        <f>SUMIFS(TraFY2020Mar1[[ Amount]],TraFY2020Mar1[[ Acct Desc]], "ORP-TIAA Hea*") + SUMIFS(TraFY2020Mar1[[ Amount]],TraFY2020Mar1[[ Acct Desc]], "Medical*")</f>
        <v>647.66000000000008</v>
      </c>
      <c r="F55" s="15">
        <f t="shared" si="1"/>
        <v>-218.74000000000069</v>
      </c>
      <c r="G55" s="374"/>
    </row>
    <row r="56" spans="1:7" x14ac:dyDescent="0.25">
      <c r="A56" s="374"/>
      <c r="B56" s="20"/>
      <c r="C56" s="3" t="s">
        <v>79</v>
      </c>
      <c r="D56" s="4">
        <f>'FY2020 February Account'!F56</f>
        <v>1131.3200000000006</v>
      </c>
      <c r="E56" s="4">
        <f>SUMIFS(TraFY2020Mar1[[ Amount]],TraFY2020Mar1[[ Acct Desc]], "Social Security-OASDI")</f>
        <v>269.29000000000002</v>
      </c>
      <c r="F56" s="15">
        <f t="shared" si="1"/>
        <v>862.03000000000065</v>
      </c>
      <c r="G56" s="374"/>
    </row>
    <row r="57" spans="1:7" x14ac:dyDescent="0.25">
      <c r="A57" s="374"/>
      <c r="B57" s="20"/>
      <c r="C57" s="3" t="s">
        <v>80</v>
      </c>
      <c r="D57" s="4">
        <f>'FY2020 February Account'!F57</f>
        <v>264.55999999999995</v>
      </c>
      <c r="E57" s="4">
        <f>SUMIFS(TraFY2020Mar1[[ Amount]],TraFY2020Mar1[[ Acct Desc]], "*Hospital Ins*")</f>
        <v>62.98</v>
      </c>
      <c r="F57" s="15">
        <f t="shared" si="1"/>
        <v>201.57999999999996</v>
      </c>
      <c r="G57" s="374"/>
    </row>
    <row r="58" spans="1:7" x14ac:dyDescent="0.25">
      <c r="A58" s="374"/>
      <c r="B58" s="16" t="s">
        <v>81</v>
      </c>
      <c r="C58" s="2"/>
      <c r="D58" s="5">
        <f>'FY2020 February Account'!F58</f>
        <v>23885.379999999997</v>
      </c>
      <c r="E58" s="6">
        <f>SUM(E53:E57)</f>
        <v>5698.67</v>
      </c>
      <c r="F58" s="21">
        <f>(D58-E58)</f>
        <v>18186.71</v>
      </c>
      <c r="G58" s="374"/>
    </row>
    <row r="59" spans="1:7" x14ac:dyDescent="0.25">
      <c r="A59" s="374"/>
      <c r="B59" s="20"/>
      <c r="C59" s="3"/>
      <c r="D59" s="3"/>
      <c r="E59" s="3"/>
      <c r="F59" s="19"/>
      <c r="G59" s="374"/>
    </row>
    <row r="60" spans="1:7" x14ac:dyDescent="0.25">
      <c r="A60" s="374"/>
      <c r="B60" s="13" t="s">
        <v>82</v>
      </c>
      <c r="C60" s="2"/>
      <c r="D60" s="2"/>
      <c r="E60" s="2"/>
      <c r="F60" s="14"/>
      <c r="G60" s="374"/>
    </row>
    <row r="61" spans="1:7" x14ac:dyDescent="0.25">
      <c r="A61" s="374"/>
      <c r="B61" s="20"/>
      <c r="C61" s="3" t="s">
        <v>83</v>
      </c>
      <c r="D61" s="4">
        <f>'FY2020 February Account'!F61</f>
        <v>6375</v>
      </c>
      <c r="E61" s="4">
        <f>SUMIFS(TraFY2020Mar1[[ Amount]],TraFY2020Mar1[[ Trans ID]], "*STIP_ASG*",TraFY2020Mar1[[ Amount]], "125" ) + SUMIFS(TraFY2020Mar1[[ Amount]],TraFY2020Mar1[[ Trans ID]], "*STIP_ASG*",TraFY2020Mar1[[ Amount]], "-125" )</f>
        <v>2125</v>
      </c>
      <c r="F61" s="15">
        <f t="shared" ref="F61" si="2">(D61-E61)</f>
        <v>4250</v>
      </c>
      <c r="G61" s="374"/>
    </row>
    <row r="62" spans="1:7" x14ac:dyDescent="0.25">
      <c r="A62" s="374"/>
      <c r="B62" s="16" t="s">
        <v>84</v>
      </c>
      <c r="C62" s="2"/>
      <c r="D62" s="5">
        <f>'FY2020 February Account'!F62</f>
        <v>6375</v>
      </c>
      <c r="E62" s="6">
        <f>SUM(E61:E61)</f>
        <v>2125</v>
      </c>
      <c r="F62" s="21">
        <f>(D62-E62)</f>
        <v>4250</v>
      </c>
      <c r="G62" s="374"/>
    </row>
    <row r="63" spans="1:7" x14ac:dyDescent="0.25">
      <c r="A63" s="374"/>
      <c r="B63" s="20"/>
      <c r="C63" s="3"/>
      <c r="D63" s="3"/>
      <c r="E63" s="3"/>
      <c r="F63" s="19"/>
      <c r="G63" s="374"/>
    </row>
    <row r="64" spans="1:7" x14ac:dyDescent="0.25">
      <c r="A64" s="374"/>
      <c r="B64" s="69" t="s">
        <v>85</v>
      </c>
      <c r="C64" s="70"/>
      <c r="D64" s="71">
        <f>'FY2020 February Account'!F64</f>
        <v>37685.380000000005</v>
      </c>
      <c r="E64" s="71">
        <f>SUM(E50, E58, E62)</f>
        <v>10298.67</v>
      </c>
      <c r="F64" s="72">
        <f>(D64-E64)</f>
        <v>27386.710000000006</v>
      </c>
      <c r="G64" s="374"/>
    </row>
    <row r="65" spans="1:7" x14ac:dyDescent="0.25">
      <c r="A65" s="374"/>
      <c r="B65" s="20"/>
      <c r="C65" s="3"/>
      <c r="D65" s="3"/>
      <c r="E65" s="3"/>
      <c r="F65" s="19"/>
      <c r="G65" s="374"/>
    </row>
    <row r="66" spans="1:7" x14ac:dyDescent="0.25">
      <c r="A66" s="374"/>
      <c r="B66" s="58" t="s">
        <v>130</v>
      </c>
      <c r="C66" s="59"/>
      <c r="D66" s="59"/>
      <c r="E66" s="59"/>
      <c r="F66" s="60"/>
      <c r="G66" s="374"/>
    </row>
    <row r="67" spans="1:7" x14ac:dyDescent="0.25">
      <c r="A67" s="374"/>
      <c r="B67" s="18"/>
      <c r="C67" s="3"/>
      <c r="D67" s="3"/>
      <c r="E67" s="3"/>
      <c r="F67" s="19"/>
      <c r="G67" s="374"/>
    </row>
    <row r="68" spans="1:7" x14ac:dyDescent="0.25">
      <c r="A68" s="374"/>
      <c r="B68" s="13" t="s">
        <v>86</v>
      </c>
      <c r="C68" s="2"/>
      <c r="D68" s="2"/>
      <c r="E68" s="2"/>
      <c r="F68" s="14"/>
      <c r="G68" s="374"/>
    </row>
    <row r="69" spans="1:7" x14ac:dyDescent="0.25">
      <c r="A69" s="374"/>
      <c r="B69" s="20"/>
      <c r="C69" s="3" t="s">
        <v>87</v>
      </c>
      <c r="D69" s="4">
        <f>'FY2020 February Account'!F69</f>
        <v>174</v>
      </c>
      <c r="E69" s="4">
        <f>SUMIFS(TraFY2020Mar1[[ Amount]],TraFY2020Mar1[[ Acct Desc]], "Teleph*")</f>
        <v>0</v>
      </c>
      <c r="F69" s="15">
        <f t="shared" ref="F69:F70" si="3">(D69-E69)</f>
        <v>174</v>
      </c>
      <c r="G69" s="374"/>
    </row>
    <row r="70" spans="1:7" x14ac:dyDescent="0.25">
      <c r="A70" s="374"/>
      <c r="B70" s="20"/>
      <c r="C70" s="3" t="s">
        <v>88</v>
      </c>
      <c r="D70" s="4">
        <f>'FY2020 February Account'!F70</f>
        <v>597.47</v>
      </c>
      <c r="E70" s="4">
        <v>0</v>
      </c>
      <c r="F70" s="15">
        <f t="shared" si="3"/>
        <v>597.47</v>
      </c>
      <c r="G70" s="374"/>
    </row>
    <row r="71" spans="1:7" x14ac:dyDescent="0.25">
      <c r="A71" s="374"/>
      <c r="B71" s="16" t="s">
        <v>89</v>
      </c>
      <c r="C71" s="2"/>
      <c r="D71" s="5">
        <f>'FY2020 February Account'!F71</f>
        <v>771.47000000000025</v>
      </c>
      <c r="E71" s="6">
        <f>SUM(E69:E70)</f>
        <v>0</v>
      </c>
      <c r="F71" s="21">
        <f>(D71-E71)</f>
        <v>771.47000000000025</v>
      </c>
      <c r="G71" s="374"/>
    </row>
    <row r="72" spans="1:7" x14ac:dyDescent="0.25">
      <c r="A72" s="374"/>
      <c r="B72" s="20"/>
      <c r="C72" s="3"/>
      <c r="D72" s="3"/>
      <c r="E72" s="3"/>
      <c r="F72" s="19"/>
      <c r="G72" s="374"/>
    </row>
    <row r="73" spans="1:7" x14ac:dyDescent="0.25">
      <c r="A73" s="374"/>
      <c r="B73" s="13" t="s">
        <v>90</v>
      </c>
      <c r="C73" s="2"/>
      <c r="D73" s="2"/>
      <c r="E73" s="2"/>
      <c r="F73" s="14"/>
      <c r="G73" s="374"/>
    </row>
    <row r="74" spans="1:7" x14ac:dyDescent="0.25">
      <c r="A74" s="374"/>
      <c r="B74" s="20"/>
      <c r="C74" s="3" t="s">
        <v>91</v>
      </c>
      <c r="D74" s="4">
        <f>'FY2020 February Account'!F74</f>
        <v>132</v>
      </c>
      <c r="E74" s="4">
        <f>SUMIFS(TraFY2020Mar1[[ Amount]],TraFY2020Mar1[[ Acct Desc]], "Internet Service") + SUMIFS(TraFY2020Mar1[[ Amount]],TraFY2020Mar1[[ Acct Desc]], "Software Subscriptions")</f>
        <v>0</v>
      </c>
      <c r="F74" s="15">
        <f t="shared" ref="F74:F76" si="4">(D74-E74)</f>
        <v>132</v>
      </c>
      <c r="G74" s="374"/>
    </row>
    <row r="75" spans="1:7" x14ac:dyDescent="0.25">
      <c r="A75" s="374"/>
      <c r="B75" s="20"/>
      <c r="C75" s="3" t="s">
        <v>92</v>
      </c>
      <c r="D75" s="4">
        <f>'FY2020 February Account'!F75</f>
        <v>547.98</v>
      </c>
      <c r="E75" s="4">
        <v>0</v>
      </c>
      <c r="F75" s="15">
        <f t="shared" si="4"/>
        <v>547.98</v>
      </c>
      <c r="G75" s="374"/>
    </row>
    <row r="76" spans="1:7" x14ac:dyDescent="0.25">
      <c r="A76" s="374"/>
      <c r="B76" s="20"/>
      <c r="C76" s="3" t="s">
        <v>93</v>
      </c>
      <c r="D76" s="4">
        <f>'FY2020 February Account'!F76</f>
        <v>500</v>
      </c>
      <c r="E76" s="4">
        <v>0</v>
      </c>
      <c r="F76" s="15">
        <f t="shared" si="4"/>
        <v>500</v>
      </c>
      <c r="G76" s="374"/>
    </row>
    <row r="77" spans="1:7" x14ac:dyDescent="0.25">
      <c r="A77" s="374"/>
      <c r="B77" s="16" t="s">
        <v>94</v>
      </c>
      <c r="C77" s="2"/>
      <c r="D77" s="5">
        <f>'FY2020 February Account'!F77</f>
        <v>1179.98</v>
      </c>
      <c r="E77" s="6">
        <f>SUM(E74:E76)</f>
        <v>0</v>
      </c>
      <c r="F77" s="21">
        <f>(D77-E77)</f>
        <v>1179.98</v>
      </c>
      <c r="G77" s="374"/>
    </row>
    <row r="78" spans="1:7" x14ac:dyDescent="0.25">
      <c r="A78" s="374"/>
      <c r="B78" s="20"/>
      <c r="C78" s="3"/>
      <c r="D78" s="3"/>
      <c r="E78" s="3"/>
      <c r="F78" s="19"/>
      <c r="G78" s="374"/>
    </row>
    <row r="79" spans="1:7" x14ac:dyDescent="0.25">
      <c r="A79" s="374"/>
      <c r="B79" s="61" t="s">
        <v>95</v>
      </c>
      <c r="C79" s="62"/>
      <c r="D79" s="63">
        <f>'FY2020 February Account'!F79</f>
        <v>1951.4500000000003</v>
      </c>
      <c r="E79" s="64">
        <f>SUM(E71, E77)</f>
        <v>0</v>
      </c>
      <c r="F79" s="65">
        <f>(D79-E79)</f>
        <v>1951.4500000000003</v>
      </c>
      <c r="G79" s="374"/>
    </row>
    <row r="80" spans="1:7" x14ac:dyDescent="0.25">
      <c r="A80" s="374"/>
      <c r="B80" s="20"/>
      <c r="C80" s="3"/>
      <c r="D80" s="3"/>
      <c r="E80" s="3"/>
      <c r="F80" s="19"/>
      <c r="G80" s="374"/>
    </row>
    <row r="81" spans="1:7" x14ac:dyDescent="0.25">
      <c r="A81" s="374"/>
      <c r="B81" s="51" t="s">
        <v>96</v>
      </c>
      <c r="C81" s="52"/>
      <c r="D81" s="52"/>
      <c r="E81" s="52"/>
      <c r="F81" s="53"/>
      <c r="G81" s="374"/>
    </row>
    <row r="82" spans="1:7" x14ac:dyDescent="0.25">
      <c r="A82" s="374"/>
      <c r="B82" s="18"/>
      <c r="C82" s="3"/>
      <c r="D82" s="3"/>
      <c r="E82" s="3"/>
      <c r="F82" s="19"/>
      <c r="G82" s="374"/>
    </row>
    <row r="83" spans="1:7" x14ac:dyDescent="0.25">
      <c r="A83" s="374"/>
      <c r="B83" s="13" t="s">
        <v>97</v>
      </c>
      <c r="C83" s="2"/>
      <c r="D83" s="2"/>
      <c r="E83" s="2"/>
      <c r="F83" s="14"/>
      <c r="G83" s="374"/>
    </row>
    <row r="84" spans="1:7" x14ac:dyDescent="0.25">
      <c r="A84" s="374"/>
      <c r="B84" s="20"/>
      <c r="C84" s="3" t="s">
        <v>98</v>
      </c>
      <c r="D84" s="4">
        <f>'FY2020 February Account'!F84</f>
        <v>17543.799999999996</v>
      </c>
      <c r="E84" s="4">
        <f>SUMIFS(TraFY2020Mar1[[ Amount]],TraFY2020Mar1[[ Acct Desc]], "*Lodging") + SUMIFS(TraFY2020Mar1[[ Amount]],TraFY2020Mar1[[ Acct Desc]], "*(4.1.1)*")</f>
        <v>17543.8</v>
      </c>
      <c r="F84" s="15">
        <f>(D84-E84)</f>
        <v>-3.637978807091713E-12</v>
      </c>
      <c r="G84" s="374"/>
    </row>
    <row r="85" spans="1:7" x14ac:dyDescent="0.25">
      <c r="A85" s="374"/>
      <c r="B85" s="20"/>
      <c r="C85" s="3" t="s">
        <v>99</v>
      </c>
      <c r="D85" s="4">
        <f>'FY2020 February Account'!F85</f>
        <v>7405.7599999999993</v>
      </c>
      <c r="E85" s="4">
        <f>SUMIFS(TraFY2020Mar1[[ Amount]],TraFY2020Mar1[[ Acct Desc]], "*Ground") + SUMIFS(TraFY2020Mar1[[ Amount]],TraFY2020Mar1[[ Acct Desc]], "*Other") + SUMIFS(TraFY2020Mar1[[ Amount]],TraFY2020Mar1[[ Acct Desc]], "*(4.1.2)*")</f>
        <v>7405.76</v>
      </c>
      <c r="F85" s="15">
        <f>(D85-E85)</f>
        <v>-9.0949470177292824E-13</v>
      </c>
      <c r="G85" s="374"/>
    </row>
    <row r="86" spans="1:7" x14ac:dyDescent="0.25">
      <c r="A86" s="374"/>
      <c r="B86" s="20"/>
      <c r="C86" s="3" t="s">
        <v>100</v>
      </c>
      <c r="D86" s="4">
        <f>'FY2020 February Account'!F86</f>
        <v>4272.79</v>
      </c>
      <c r="E86" s="4">
        <f>SUMIFS(TraFY2020Mar1[[ Amount]],TraFY2020Mar1[[ Acct Desc]], "*Meetings*") +SUMIFS(TraFY2020Mar1[[ Amount]], TraFY2020Mar1[[ Acct Desc]], "*Meal*") + SUMIFS(TraFY2020Mar1[[ Amount]],TraFY2020Mar1[[ Acct Desc]], "*(4.1.3)*")</f>
        <v>4272.79</v>
      </c>
      <c r="F86" s="15">
        <f t="shared" ref="F86" si="5">(D86-E86)</f>
        <v>0</v>
      </c>
      <c r="G86" s="374"/>
    </row>
    <row r="87" spans="1:7" x14ac:dyDescent="0.25">
      <c r="A87" s="374"/>
      <c r="B87" s="16" t="s">
        <v>101</v>
      </c>
      <c r="C87" s="2"/>
      <c r="D87" s="5">
        <f>'FY2020 February Account'!F87</f>
        <v>29222.35</v>
      </c>
      <c r="E87" s="6">
        <f>SUM(E84:E86)</f>
        <v>29222.35</v>
      </c>
      <c r="F87" s="21">
        <f>(D87-E87)</f>
        <v>0</v>
      </c>
      <c r="G87" s="374"/>
    </row>
    <row r="88" spans="1:7" x14ac:dyDescent="0.25">
      <c r="A88" s="374"/>
      <c r="B88" s="20"/>
      <c r="C88" s="3"/>
      <c r="D88" s="3"/>
      <c r="E88" s="3"/>
      <c r="F88" s="19"/>
      <c r="G88" s="374"/>
    </row>
    <row r="89" spans="1:7" x14ac:dyDescent="0.25">
      <c r="A89" s="374"/>
      <c r="B89" s="13" t="s">
        <v>102</v>
      </c>
      <c r="C89" s="2"/>
      <c r="D89" s="2"/>
      <c r="E89" s="2"/>
      <c r="F89" s="14"/>
      <c r="G89" s="374"/>
    </row>
    <row r="90" spans="1:7" x14ac:dyDescent="0.25">
      <c r="A90" s="374"/>
      <c r="B90" s="20"/>
      <c r="C90" s="3" t="s">
        <v>103</v>
      </c>
      <c r="D90" s="4">
        <f>'FY2020 February Account'!F90</f>
        <v>3190.82</v>
      </c>
      <c r="E90" s="4">
        <f>SUMIFS(TraFY2020Mar1[[ Amount]],TraFY2020Mar1[[ Acct Desc]], "*(4.2.1)*")</f>
        <v>3190.82</v>
      </c>
      <c r="F90" s="15">
        <f t="shared" ref="F90:F92" si="6">(D90-E90)</f>
        <v>0</v>
      </c>
      <c r="G90" s="374"/>
    </row>
    <row r="91" spans="1:7" x14ac:dyDescent="0.25">
      <c r="A91" s="374"/>
      <c r="B91" s="20"/>
      <c r="C91" s="3" t="s">
        <v>104</v>
      </c>
      <c r="D91" s="4">
        <f>'FY2020 February Account'!F91</f>
        <v>1000</v>
      </c>
      <c r="E91" s="4">
        <f>SUMIFS(TraFY2020Mar1[[ Amount]],TraFY2020Mar1[[ Acct Desc]], "*(4.2.2)*")</f>
        <v>1000</v>
      </c>
      <c r="F91" s="15">
        <f t="shared" si="6"/>
        <v>0</v>
      </c>
      <c r="G91" s="374"/>
    </row>
    <row r="92" spans="1:7" x14ac:dyDescent="0.25">
      <c r="A92" s="374"/>
      <c r="B92" s="20"/>
      <c r="C92" s="3" t="s">
        <v>1993</v>
      </c>
      <c r="D92" s="4">
        <f>'FY2020 February Account'!F92</f>
        <v>3000</v>
      </c>
      <c r="E92" s="4">
        <f>SUMIFS(TraFY2020Mar1[[ Amount]],TraFY2020Mar1[[ Acct Desc]], "*(4.2.3)*")</f>
        <v>3000</v>
      </c>
      <c r="F92" s="15">
        <f t="shared" si="6"/>
        <v>0</v>
      </c>
      <c r="G92" s="374"/>
    </row>
    <row r="93" spans="1:7" x14ac:dyDescent="0.25">
      <c r="A93" s="374"/>
      <c r="B93" s="16" t="s">
        <v>105</v>
      </c>
      <c r="C93" s="2"/>
      <c r="D93" s="5">
        <f>'FY2020 February Account'!F93</f>
        <v>7190.82</v>
      </c>
      <c r="E93" s="6">
        <f>SUM(E90:E92)</f>
        <v>7190.82</v>
      </c>
      <c r="F93" s="21">
        <f>(D93-E93)</f>
        <v>0</v>
      </c>
      <c r="G93" s="374"/>
    </row>
    <row r="94" spans="1:7" x14ac:dyDescent="0.25">
      <c r="A94" s="374"/>
      <c r="B94" s="20"/>
      <c r="C94" s="3"/>
      <c r="D94" s="3"/>
      <c r="E94" s="3"/>
      <c r="F94" s="19"/>
      <c r="G94" s="374"/>
    </row>
    <row r="95" spans="1:7" x14ac:dyDescent="0.25">
      <c r="A95" s="374"/>
      <c r="B95" s="54" t="s">
        <v>106</v>
      </c>
      <c r="C95" s="55"/>
      <c r="D95" s="56">
        <f>'FY2020 February Account'!F95</f>
        <v>36413.170000000006</v>
      </c>
      <c r="E95" s="56">
        <f>SUM(E87, E93)</f>
        <v>36413.17</v>
      </c>
      <c r="F95" s="57">
        <f>(D95-E95)</f>
        <v>7.2759576141834259E-12</v>
      </c>
      <c r="G95" s="374"/>
    </row>
    <row r="96" spans="1:7" x14ac:dyDescent="0.25">
      <c r="A96" s="374"/>
      <c r="B96" s="20"/>
      <c r="C96" s="3"/>
      <c r="D96" s="3"/>
      <c r="E96" s="3"/>
      <c r="F96" s="19"/>
      <c r="G96" s="374"/>
    </row>
    <row r="97" spans="1:12" x14ac:dyDescent="0.25">
      <c r="A97" s="374"/>
      <c r="B97" s="44" t="s">
        <v>107</v>
      </c>
      <c r="C97" s="45"/>
      <c r="D97" s="45"/>
      <c r="E97" s="45"/>
      <c r="F97" s="46"/>
      <c r="G97" s="374"/>
    </row>
    <row r="98" spans="1:12" x14ac:dyDescent="0.25">
      <c r="A98" s="374"/>
      <c r="B98" s="18"/>
      <c r="C98" s="3"/>
      <c r="D98" s="3"/>
      <c r="E98" s="3"/>
      <c r="F98" s="19"/>
      <c r="G98" s="374"/>
    </row>
    <row r="99" spans="1:12" x14ac:dyDescent="0.25">
      <c r="A99" s="374"/>
      <c r="B99" s="13" t="s">
        <v>108</v>
      </c>
      <c r="C99" s="2"/>
      <c r="D99" s="2"/>
      <c r="E99" s="2"/>
      <c r="F99" s="14"/>
      <c r="G99" s="374"/>
    </row>
    <row r="100" spans="1:12" x14ac:dyDescent="0.25">
      <c r="A100" s="374"/>
      <c r="B100" s="20"/>
      <c r="C100" s="3" t="s">
        <v>109</v>
      </c>
      <c r="D100" s="4">
        <f>'FY2020 February Account'!F100</f>
        <v>2425</v>
      </c>
      <c r="E100" s="4">
        <f>SUMIFS(TraFY2020Mar1[[ Amount]],TraFY2020Mar1[[ Acct Desc]], "*(5.1.1)*")</f>
        <v>2425</v>
      </c>
      <c r="F100" s="15">
        <f t="shared" ref="F100" si="7">(D100-E100)</f>
        <v>0</v>
      </c>
      <c r="G100" s="374"/>
    </row>
    <row r="101" spans="1:12" x14ac:dyDescent="0.25">
      <c r="A101" s="374"/>
      <c r="B101" s="16" t="s">
        <v>110</v>
      </c>
      <c r="C101" s="2"/>
      <c r="D101" s="5">
        <f>'FY2020 February Account'!F101</f>
        <v>2425</v>
      </c>
      <c r="E101" s="6">
        <f>SUM(E100:E100)</f>
        <v>2425</v>
      </c>
      <c r="F101" s="21">
        <f>(D101-E101)</f>
        <v>0</v>
      </c>
      <c r="G101" s="374"/>
    </row>
    <row r="102" spans="1:12" x14ac:dyDescent="0.25">
      <c r="A102" s="374"/>
      <c r="B102" s="20"/>
      <c r="C102" s="3"/>
      <c r="D102" s="3"/>
      <c r="E102" s="3"/>
      <c r="F102" s="19"/>
      <c r="G102" s="374"/>
    </row>
    <row r="103" spans="1:12" x14ac:dyDescent="0.25">
      <c r="A103" s="374"/>
      <c r="B103" s="13" t="s">
        <v>111</v>
      </c>
      <c r="C103" s="2"/>
      <c r="D103" s="2"/>
      <c r="E103" s="2"/>
      <c r="F103" s="14"/>
      <c r="G103" s="374"/>
    </row>
    <row r="104" spans="1:12" x14ac:dyDescent="0.25">
      <c r="A104" s="374"/>
      <c r="B104" s="20"/>
      <c r="C104" s="3" t="s">
        <v>112</v>
      </c>
      <c r="D104" s="4">
        <f>'FY2020 February Account'!F104</f>
        <v>14373.48</v>
      </c>
      <c r="E104" s="4">
        <f>SUMIFS(TraFY2020Mar1[[ Amount]],TraFY2020Mar1[[ Acct Desc]], "*(5.2.1)*")</f>
        <v>14373.48</v>
      </c>
      <c r="F104" s="15">
        <f t="shared" ref="F104:F105" si="8">(D104-E104)</f>
        <v>0</v>
      </c>
      <c r="G104" s="374"/>
    </row>
    <row r="105" spans="1:12" x14ac:dyDescent="0.25">
      <c r="A105" s="374"/>
      <c r="B105" s="20"/>
      <c r="C105" s="3" t="s">
        <v>1992</v>
      </c>
      <c r="D105" s="4">
        <f>'FY2020 February Account'!F105</f>
        <v>20000</v>
      </c>
      <c r="E105" s="4">
        <f>SUMIFS(TraFY2020Mar1[[ Amount]],TraFY2020Mar1[[ Acct Desc]], "*(5.2.2)*")</f>
        <v>20000</v>
      </c>
      <c r="F105" s="15">
        <f t="shared" si="8"/>
        <v>0</v>
      </c>
      <c r="G105" s="374"/>
    </row>
    <row r="106" spans="1:12" x14ac:dyDescent="0.25">
      <c r="A106" s="374"/>
      <c r="B106" s="16" t="s">
        <v>113</v>
      </c>
      <c r="C106" s="2"/>
      <c r="D106" s="5">
        <f>'FY2020 February Account'!F106</f>
        <v>34373.479999999996</v>
      </c>
      <c r="E106" s="6">
        <f>SUM(E104:E105)</f>
        <v>34373.479999999996</v>
      </c>
      <c r="F106" s="21">
        <f>(D106-E106)</f>
        <v>0</v>
      </c>
      <c r="G106" s="374"/>
    </row>
    <row r="107" spans="1:12" x14ac:dyDescent="0.25">
      <c r="A107" s="374"/>
      <c r="B107" s="22"/>
      <c r="C107" s="3"/>
      <c r="D107" s="3"/>
      <c r="E107" s="3"/>
      <c r="F107" s="19"/>
      <c r="G107" s="374"/>
    </row>
    <row r="108" spans="1:12" x14ac:dyDescent="0.25">
      <c r="A108" s="374"/>
      <c r="B108" s="13" t="s">
        <v>114</v>
      </c>
      <c r="C108" s="2"/>
      <c r="D108" s="2"/>
      <c r="E108" s="2"/>
      <c r="F108" s="14"/>
      <c r="G108" s="374"/>
    </row>
    <row r="109" spans="1:12" x14ac:dyDescent="0.25">
      <c r="A109" s="374"/>
      <c r="B109" s="20"/>
      <c r="C109" s="3" t="s">
        <v>115</v>
      </c>
      <c r="D109" s="4">
        <f>'FY2020 February Account'!F109</f>
        <v>2000</v>
      </c>
      <c r="E109" s="4">
        <f>SUMIFS(TraFY2020Mar1[[ Amount]],TraFY2020Mar1[[ Acct Desc]], "Other Inter*") + 'FY2020 March Transactions'!E141</f>
        <v>55465.729999999996</v>
      </c>
      <c r="F109" s="15">
        <f t="shared" ref="F109" si="9">(D109-E109)</f>
        <v>-53465.729999999996</v>
      </c>
      <c r="G109" s="374"/>
      <c r="L109" s="93"/>
    </row>
    <row r="110" spans="1:12" x14ac:dyDescent="0.25">
      <c r="A110" s="374"/>
      <c r="B110" s="16" t="s">
        <v>116</v>
      </c>
      <c r="C110" s="2"/>
      <c r="D110" s="5">
        <f>'FY2020 February Account'!F110</f>
        <v>2000</v>
      </c>
      <c r="E110" s="6">
        <f>SUM(E109:E109)</f>
        <v>55465.729999999996</v>
      </c>
      <c r="F110" s="21">
        <f>(D110-E110)</f>
        <v>-53465.729999999996</v>
      </c>
      <c r="G110" s="374"/>
    </row>
    <row r="111" spans="1:12" x14ac:dyDescent="0.25">
      <c r="A111" s="374"/>
      <c r="B111" s="20"/>
      <c r="C111" s="3"/>
      <c r="D111" s="3"/>
      <c r="E111" s="3"/>
      <c r="F111" s="19"/>
      <c r="G111" s="374"/>
    </row>
    <row r="112" spans="1:12" x14ac:dyDescent="0.25">
      <c r="A112" s="374"/>
      <c r="B112" s="13" t="s">
        <v>117</v>
      </c>
      <c r="C112" s="2"/>
      <c r="D112" s="2"/>
      <c r="E112" s="2"/>
      <c r="F112" s="14"/>
      <c r="G112" s="374"/>
    </row>
    <row r="113" spans="1:11" x14ac:dyDescent="0.25">
      <c r="A113" s="374"/>
      <c r="B113" s="20"/>
      <c r="C113" s="3" t="s">
        <v>118</v>
      </c>
      <c r="D113" s="4">
        <f>'FY2020 February Account'!F113</f>
        <v>4500</v>
      </c>
      <c r="E113" s="4">
        <f>SUMIFS(TraFY2020Mar1[[ Amount]],TraFY2020Mar1[[ Acct Desc]], "*Non Educ Misc") + 2079.8</f>
        <v>4500</v>
      </c>
      <c r="F113" s="15">
        <f t="shared" ref="F113:F115" si="10">(D113-E113)</f>
        <v>0</v>
      </c>
      <c r="G113" s="374"/>
    </row>
    <row r="114" spans="1:11" x14ac:dyDescent="0.25">
      <c r="A114" s="374"/>
      <c r="B114" s="20"/>
      <c r="C114" s="3" t="s">
        <v>119</v>
      </c>
      <c r="D114" s="4">
        <f>'FY2020 February Account'!F114</f>
        <v>3000</v>
      </c>
      <c r="E114" s="4">
        <f>SUMIFS(TraFY2020Mar1[[ Amount]],TraFY2020Mar1[[ Acct Desc]], "*(5.4.2)*")</f>
        <v>3000</v>
      </c>
      <c r="F114" s="15">
        <f t="shared" si="10"/>
        <v>0</v>
      </c>
      <c r="G114" s="374"/>
    </row>
    <row r="115" spans="1:11" x14ac:dyDescent="0.25">
      <c r="A115" s="374"/>
      <c r="B115" s="20"/>
      <c r="C115" s="3" t="s">
        <v>120</v>
      </c>
      <c r="D115" s="4">
        <f>'FY2020 February Account'!F115</f>
        <v>4500</v>
      </c>
      <c r="E115" s="4">
        <f>SUMIFS(TraFY2020Mar1[[ Amount]],TraFY2020Mar1[[ Acct Desc]], "*(5.4.3)*")</f>
        <v>3795</v>
      </c>
      <c r="F115" s="15">
        <f t="shared" si="10"/>
        <v>705</v>
      </c>
      <c r="G115" s="374"/>
    </row>
    <row r="116" spans="1:11" x14ac:dyDescent="0.25">
      <c r="A116" s="374"/>
      <c r="B116" s="16" t="s">
        <v>121</v>
      </c>
      <c r="C116" s="2"/>
      <c r="D116" s="5">
        <f>'FY2020 February Account'!F116</f>
        <v>12000</v>
      </c>
      <c r="E116" s="6">
        <f>SUM(E113:E115)</f>
        <v>11295</v>
      </c>
      <c r="F116" s="21">
        <f>(D116-E116)</f>
        <v>705</v>
      </c>
      <c r="G116" s="374"/>
    </row>
    <row r="117" spans="1:11" x14ac:dyDescent="0.25">
      <c r="A117" s="374"/>
      <c r="B117" s="20"/>
      <c r="C117" s="3"/>
      <c r="D117" s="3"/>
      <c r="E117" s="3"/>
      <c r="F117" s="19"/>
      <c r="G117" s="374"/>
    </row>
    <row r="118" spans="1:11" x14ac:dyDescent="0.25">
      <c r="A118" s="374"/>
      <c r="B118" s="47" t="s">
        <v>167</v>
      </c>
      <c r="C118" s="48"/>
      <c r="D118" s="49">
        <f>'FY2020 February Account'!F118</f>
        <v>50798.479999999996</v>
      </c>
      <c r="E118" s="49">
        <f>SUM(E101, E106, E110, E116)</f>
        <v>103559.20999999999</v>
      </c>
      <c r="F118" s="50">
        <f>(D118-E118)</f>
        <v>-52760.729999999996</v>
      </c>
      <c r="G118" s="374"/>
    </row>
    <row r="119" spans="1:11" x14ac:dyDescent="0.25">
      <c r="A119" s="374"/>
      <c r="B119" s="20"/>
      <c r="C119" s="3"/>
      <c r="D119" s="3"/>
      <c r="E119" s="3"/>
      <c r="F119" s="19"/>
      <c r="G119" s="374"/>
    </row>
    <row r="120" spans="1:11" x14ac:dyDescent="0.25">
      <c r="A120" s="374"/>
      <c r="B120" s="38" t="s">
        <v>131</v>
      </c>
      <c r="C120" s="39"/>
      <c r="D120" s="39"/>
      <c r="E120" s="39"/>
      <c r="F120" s="40"/>
      <c r="G120" s="374"/>
    </row>
    <row r="121" spans="1:11" x14ac:dyDescent="0.25">
      <c r="A121" s="374"/>
      <c r="B121" s="18"/>
      <c r="C121" s="3"/>
      <c r="D121" s="3"/>
      <c r="E121" s="3"/>
      <c r="F121" s="19"/>
      <c r="G121" s="374"/>
    </row>
    <row r="122" spans="1:11" x14ac:dyDescent="0.25">
      <c r="A122" s="374"/>
      <c r="B122" s="13" t="s">
        <v>122</v>
      </c>
      <c r="C122" s="2"/>
      <c r="D122" s="2"/>
      <c r="E122" s="2"/>
      <c r="F122" s="14"/>
      <c r="G122" s="374"/>
    </row>
    <row r="123" spans="1:11" x14ac:dyDescent="0.25">
      <c r="A123" s="374"/>
      <c r="B123" s="20"/>
      <c r="C123" s="3" t="s">
        <v>123</v>
      </c>
      <c r="D123" s="4">
        <f>'FY2020 February Account'!F123</f>
        <v>18678.830000000002</v>
      </c>
      <c r="E123" s="4">
        <f>SUMIFS(TraFY2020Mar1[[ Amount]],TraFY2020Mar1[[ Acct Desc]], "Fiscal Agent*")</f>
        <v>9477.73</v>
      </c>
      <c r="F123" s="15">
        <f t="shared" ref="F123" si="11">(D123-E123)</f>
        <v>9201.1000000000022</v>
      </c>
      <c r="G123" s="374"/>
    </row>
    <row r="124" spans="1:11" x14ac:dyDescent="0.25">
      <c r="A124" s="374"/>
      <c r="B124" s="16" t="s">
        <v>124</v>
      </c>
      <c r="C124" s="2"/>
      <c r="D124" s="5">
        <f>'FY2020 February Account'!F124</f>
        <v>18678.830000000002</v>
      </c>
      <c r="E124" s="6">
        <f>SUM(E123:E123)</f>
        <v>9477.73</v>
      </c>
      <c r="F124" s="21">
        <f>(D124-E124)</f>
        <v>9201.1000000000022</v>
      </c>
      <c r="G124" s="374"/>
    </row>
    <row r="125" spans="1:11" x14ac:dyDescent="0.25">
      <c r="A125" s="374"/>
      <c r="B125" s="20"/>
      <c r="C125" s="3"/>
      <c r="D125" s="3"/>
      <c r="E125" s="3"/>
      <c r="F125" s="19"/>
      <c r="G125" s="374"/>
    </row>
    <row r="126" spans="1:11" x14ac:dyDescent="0.25">
      <c r="A126" s="374"/>
      <c r="B126" s="37" t="s">
        <v>125</v>
      </c>
      <c r="C126" s="41"/>
      <c r="D126" s="42">
        <f>'FY2020 February Account'!F126</f>
        <v>18678.830000000002</v>
      </c>
      <c r="E126" s="42">
        <f>SUM(E124)</f>
        <v>9477.73</v>
      </c>
      <c r="F126" s="43">
        <f>(D126-E126)</f>
        <v>9201.1000000000022</v>
      </c>
      <c r="G126" s="374"/>
    </row>
    <row r="127" spans="1:11" x14ac:dyDescent="0.25">
      <c r="A127" s="374"/>
      <c r="B127" s="23"/>
      <c r="C127" s="7"/>
      <c r="D127" s="7"/>
      <c r="E127" s="7"/>
      <c r="F127" s="24"/>
      <c r="G127" s="374"/>
    </row>
    <row r="128" spans="1:11" x14ac:dyDescent="0.25">
      <c r="A128" s="374"/>
      <c r="B128" s="23"/>
      <c r="C128" s="7"/>
      <c r="D128" s="7"/>
      <c r="E128" s="7"/>
      <c r="F128" s="24"/>
      <c r="G128" s="374"/>
      <c r="K128" s="93"/>
    </row>
    <row r="129" spans="1:7" ht="15.75" x14ac:dyDescent="0.25">
      <c r="A129" s="374"/>
      <c r="B129" s="25" t="s">
        <v>2563</v>
      </c>
      <c r="C129" s="8"/>
      <c r="D129" s="9"/>
      <c r="E129" s="10">
        <f>SUM(E34)</f>
        <v>5629.68</v>
      </c>
      <c r="F129" s="26"/>
      <c r="G129" s="374"/>
    </row>
    <row r="130" spans="1:7" ht="15.75" x14ac:dyDescent="0.25">
      <c r="A130" s="374"/>
      <c r="B130" s="25" t="s">
        <v>2564</v>
      </c>
      <c r="C130" s="8"/>
      <c r="D130" s="9"/>
      <c r="E130" s="10">
        <f>SUM(E64, E79, E95,E118, E126)</f>
        <v>159748.78</v>
      </c>
      <c r="F130" s="26"/>
      <c r="G130" s="374"/>
    </row>
    <row r="131" spans="1:7" ht="16.5" thickBot="1" x14ac:dyDescent="0.3">
      <c r="A131" s="374"/>
      <c r="B131" s="27" t="s">
        <v>2565</v>
      </c>
      <c r="C131" s="28"/>
      <c r="D131" s="29"/>
      <c r="E131" s="30">
        <f>(E129-E130)</f>
        <v>-154119.1</v>
      </c>
      <c r="F131" s="31"/>
      <c r="G131" s="374"/>
    </row>
    <row r="132" spans="1:7" x14ac:dyDescent="0.25">
      <c r="A132" s="371" t="b">
        <f>IF(($E$129+$E$130)=(SUM('FY2020 March Transactions'!E:E)),TRUE,FALSE)</f>
        <v>1</v>
      </c>
      <c r="B132" s="372"/>
      <c r="C132" s="372"/>
      <c r="D132" s="372"/>
      <c r="E132" s="372"/>
      <c r="F132" s="372"/>
      <c r="G132" s="373"/>
    </row>
    <row r="133" spans="1:7" x14ac:dyDescent="0.25">
      <c r="F133" s="93"/>
    </row>
    <row r="134" spans="1:7" x14ac:dyDescent="0.25">
      <c r="C134" s="93"/>
    </row>
    <row r="135" spans="1:7" x14ac:dyDescent="0.25">
      <c r="E135" s="93"/>
    </row>
    <row r="138" spans="1:7" x14ac:dyDescent="0.25">
      <c r="E138" s="93"/>
    </row>
  </sheetData>
  <mergeCells count="7">
    <mergeCell ref="A132:G132"/>
    <mergeCell ref="A1:G1"/>
    <mergeCell ref="A2:A131"/>
    <mergeCell ref="B2:F3"/>
    <mergeCell ref="G2:G131"/>
    <mergeCell ref="B6:F6"/>
    <mergeCell ref="B36:F36"/>
  </mergeCells>
  <conditionalFormatting sqref="A2:A91 G2:G91 G93:G104 A93:A104 A106:A131 G106:G131">
    <cfRule type="cellIs" dxfId="517" priority="11" operator="equal">
      <formula>FALSE</formula>
    </cfRule>
  </conditionalFormatting>
  <conditionalFormatting sqref="G2:G91 A2:A91 A93:A104 G93:G104 G106:G131 A106:A131">
    <cfRule type="cellIs" dxfId="516" priority="10" operator="equal">
      <formula>TRUE</formula>
    </cfRule>
  </conditionalFormatting>
  <conditionalFormatting sqref="A92 G92">
    <cfRule type="cellIs" dxfId="515" priority="8" operator="equal">
      <formula>FALSE</formula>
    </cfRule>
  </conditionalFormatting>
  <conditionalFormatting sqref="G92 A92">
    <cfRule type="cellIs" dxfId="514" priority="7" operator="equal">
      <formula>TRUE</formula>
    </cfRule>
  </conditionalFormatting>
  <conditionalFormatting sqref="A105 G105">
    <cfRule type="cellIs" dxfId="513" priority="6" operator="equal">
      <formula>FALSE</formula>
    </cfRule>
  </conditionalFormatting>
  <conditionalFormatting sqref="G105 A105">
    <cfRule type="cellIs" dxfId="512" priority="5" operator="equal">
      <formula>TRUE</formula>
    </cfRule>
  </conditionalFormatting>
  <conditionalFormatting sqref="A1">
    <cfRule type="cellIs" dxfId="511" priority="4" operator="equal">
      <formula>TRUE</formula>
    </cfRule>
  </conditionalFormatting>
  <conditionalFormatting sqref="A1">
    <cfRule type="cellIs" dxfId="510" priority="3" operator="equal">
      <formula>FALSE</formula>
    </cfRule>
  </conditionalFormatting>
  <conditionalFormatting sqref="A132">
    <cfRule type="cellIs" dxfId="509" priority="2" operator="equal">
      <formula>TRUE</formula>
    </cfRule>
  </conditionalFormatting>
  <conditionalFormatting sqref="A132">
    <cfRule type="cellIs" dxfId="508" priority="1" operator="equal">
      <formula>FALSE</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1BEFF-405D-4858-92BA-C35A7797654E}">
  <dimension ref="A1:F143"/>
  <sheetViews>
    <sheetView topLeftCell="A93" zoomScaleNormal="100" workbookViewId="0">
      <selection activeCell="E141" sqref="E141"/>
    </sheetView>
  </sheetViews>
  <sheetFormatPr defaultRowHeight="15" x14ac:dyDescent="0.25"/>
  <cols>
    <col min="1" max="1" width="10.7109375" style="36" customWidth="1"/>
    <col min="2" max="6" width="35.7109375" style="36" customWidth="1"/>
    <col min="7" max="16384" width="9.140625" style="36"/>
  </cols>
  <sheetData>
    <row r="1" spans="1:6" ht="16.5" x14ac:dyDescent="0.3">
      <c r="A1" s="91" t="s">
        <v>0</v>
      </c>
      <c r="B1" s="91" t="s">
        <v>1</v>
      </c>
      <c r="C1" s="91" t="s">
        <v>2</v>
      </c>
      <c r="D1" s="91" t="s">
        <v>3</v>
      </c>
      <c r="E1" s="91" t="s">
        <v>4</v>
      </c>
      <c r="F1" s="92" t="s">
        <v>5</v>
      </c>
    </row>
    <row r="2" spans="1:6" ht="15.75" x14ac:dyDescent="0.25">
      <c r="A2" s="35">
        <v>526712</v>
      </c>
      <c r="B2" s="35" t="s">
        <v>14</v>
      </c>
      <c r="C2" s="35" t="s">
        <v>1493</v>
      </c>
      <c r="D2" s="35" t="s">
        <v>2544</v>
      </c>
      <c r="E2" s="35">
        <v>135.30000000000001</v>
      </c>
      <c r="F2" s="34">
        <v>43891</v>
      </c>
    </row>
    <row r="3" spans="1:6" ht="15.75" x14ac:dyDescent="0.25">
      <c r="A3" s="35">
        <v>526712</v>
      </c>
      <c r="B3" s="35" t="s">
        <v>14</v>
      </c>
      <c r="C3" s="35" t="s">
        <v>2545</v>
      </c>
      <c r="D3" s="35" t="s">
        <v>2546</v>
      </c>
      <c r="E3" s="35">
        <v>208.56</v>
      </c>
      <c r="F3" s="34">
        <v>43891</v>
      </c>
    </row>
    <row r="4" spans="1:6" ht="15.75" x14ac:dyDescent="0.25">
      <c r="A4" s="35">
        <v>526120</v>
      </c>
      <c r="B4" s="35" t="s">
        <v>217</v>
      </c>
      <c r="C4" s="35" t="s">
        <v>2547</v>
      </c>
      <c r="D4" s="35" t="s">
        <v>2548</v>
      </c>
      <c r="E4" s="35">
        <v>100.32</v>
      </c>
      <c r="F4" s="34">
        <v>43894</v>
      </c>
    </row>
    <row r="5" spans="1:6" ht="15.75" x14ac:dyDescent="0.25">
      <c r="A5" s="35">
        <v>526120</v>
      </c>
      <c r="B5" s="35" t="s">
        <v>217</v>
      </c>
      <c r="C5" s="35" t="s">
        <v>1158</v>
      </c>
      <c r="D5" s="35" t="s">
        <v>2549</v>
      </c>
      <c r="E5" s="35">
        <v>100.32</v>
      </c>
      <c r="F5" s="34">
        <v>43894</v>
      </c>
    </row>
    <row r="6" spans="1:6" ht="15.75" x14ac:dyDescent="0.25">
      <c r="A6" s="35">
        <v>526150</v>
      </c>
      <c r="B6" s="35" t="s">
        <v>258</v>
      </c>
      <c r="C6" s="35" t="s">
        <v>2547</v>
      </c>
      <c r="D6" s="35" t="s">
        <v>2548</v>
      </c>
      <c r="E6" s="35">
        <v>28.1</v>
      </c>
      <c r="F6" s="34">
        <v>43894</v>
      </c>
    </row>
    <row r="7" spans="1:6" ht="15.75" x14ac:dyDescent="0.25">
      <c r="A7" s="35">
        <v>526150</v>
      </c>
      <c r="B7" s="35" t="s">
        <v>258</v>
      </c>
      <c r="C7" s="35" t="s">
        <v>1158</v>
      </c>
      <c r="D7" s="35" t="s">
        <v>2549</v>
      </c>
      <c r="E7" s="35">
        <v>47.6</v>
      </c>
      <c r="F7" s="34">
        <v>43894</v>
      </c>
    </row>
    <row r="8" spans="1:6" ht="15.75" x14ac:dyDescent="0.25">
      <c r="A8" s="35">
        <v>526741</v>
      </c>
      <c r="B8" s="35" t="s">
        <v>23</v>
      </c>
      <c r="C8" s="35" t="s">
        <v>263</v>
      </c>
      <c r="D8" s="35" t="s">
        <v>2550</v>
      </c>
      <c r="E8" s="35">
        <v>4195.6899999999996</v>
      </c>
      <c r="F8" s="34">
        <v>43900</v>
      </c>
    </row>
    <row r="9" spans="1:6" ht="15.75" x14ac:dyDescent="0.25">
      <c r="A9" s="35">
        <v>526741</v>
      </c>
      <c r="B9" s="35" t="s">
        <v>23</v>
      </c>
      <c r="C9" s="35" t="s">
        <v>1685</v>
      </c>
      <c r="D9" s="35" t="s">
        <v>2551</v>
      </c>
      <c r="E9" s="35">
        <v>534.24</v>
      </c>
      <c r="F9" s="34">
        <v>43900</v>
      </c>
    </row>
    <row r="10" spans="1:6" ht="15.75" x14ac:dyDescent="0.25">
      <c r="A10" s="35">
        <v>538110</v>
      </c>
      <c r="B10" s="35" t="s">
        <v>210</v>
      </c>
      <c r="C10" s="35" t="s">
        <v>263</v>
      </c>
      <c r="D10" s="35" t="s">
        <v>2550</v>
      </c>
      <c r="E10" s="35">
        <v>2420.1999999999998</v>
      </c>
      <c r="F10" s="34">
        <v>43900</v>
      </c>
    </row>
    <row r="11" spans="1:6" ht="15.75" x14ac:dyDescent="0.25">
      <c r="A11" s="35">
        <v>558921</v>
      </c>
      <c r="B11" s="35" t="s">
        <v>262</v>
      </c>
      <c r="C11" s="35" t="s">
        <v>445</v>
      </c>
      <c r="D11" s="35" t="s">
        <v>2552</v>
      </c>
      <c r="E11" s="35">
        <v>42.92</v>
      </c>
      <c r="F11" s="34">
        <v>43900</v>
      </c>
    </row>
    <row r="12" spans="1:6" ht="15.75" x14ac:dyDescent="0.25">
      <c r="A12" s="35">
        <v>558921</v>
      </c>
      <c r="B12" s="35" t="s">
        <v>262</v>
      </c>
      <c r="C12" s="35" t="s">
        <v>2553</v>
      </c>
      <c r="D12" s="35" t="s">
        <v>2554</v>
      </c>
      <c r="E12" s="35">
        <v>1000</v>
      </c>
      <c r="F12" s="34">
        <v>43901</v>
      </c>
    </row>
    <row r="13" spans="1:6" ht="15.75" x14ac:dyDescent="0.25">
      <c r="A13" s="35">
        <v>558921</v>
      </c>
      <c r="B13" s="35" t="s">
        <v>262</v>
      </c>
      <c r="C13" s="35" t="s">
        <v>1158</v>
      </c>
      <c r="D13" s="35" t="s">
        <v>2555</v>
      </c>
      <c r="E13" s="35">
        <v>76.84</v>
      </c>
      <c r="F13" s="34">
        <v>43901</v>
      </c>
    </row>
    <row r="14" spans="1:6" ht="15.75" x14ac:dyDescent="0.25">
      <c r="A14" s="35">
        <v>487110</v>
      </c>
      <c r="B14" s="35" t="s">
        <v>36</v>
      </c>
      <c r="C14" s="35" t="s">
        <v>2556</v>
      </c>
      <c r="D14" s="35" t="s">
        <v>2557</v>
      </c>
      <c r="E14" s="35">
        <v>5408</v>
      </c>
      <c r="F14" s="34">
        <v>43901</v>
      </c>
    </row>
    <row r="15" spans="1:6" ht="15.75" x14ac:dyDescent="0.25">
      <c r="A15" s="35">
        <v>526712</v>
      </c>
      <c r="B15" s="35" t="s">
        <v>14</v>
      </c>
      <c r="C15" s="35" t="s">
        <v>2157</v>
      </c>
      <c r="D15" s="35" t="s">
        <v>2558</v>
      </c>
      <c r="E15" s="35">
        <v>128.11000000000001</v>
      </c>
      <c r="F15" s="34">
        <v>43902</v>
      </c>
    </row>
    <row r="16" spans="1:6" ht="15.75" x14ac:dyDescent="0.25">
      <c r="A16" s="35">
        <v>526713</v>
      </c>
      <c r="B16" s="35" t="s">
        <v>757</v>
      </c>
      <c r="C16" s="35" t="s">
        <v>2157</v>
      </c>
      <c r="D16" s="35" t="s">
        <v>2558</v>
      </c>
      <c r="E16" s="35">
        <v>6</v>
      </c>
      <c r="F16" s="34">
        <v>43902</v>
      </c>
    </row>
    <row r="17" spans="1:6" ht="15.75" x14ac:dyDescent="0.25">
      <c r="A17" s="35">
        <v>526742</v>
      </c>
      <c r="B17" s="35" t="s">
        <v>26</v>
      </c>
      <c r="C17" s="35" t="s">
        <v>2157</v>
      </c>
      <c r="D17" s="35" t="s">
        <v>2558</v>
      </c>
      <c r="E17" s="35">
        <v>11.3</v>
      </c>
      <c r="F17" s="34">
        <v>43902</v>
      </c>
    </row>
    <row r="18" spans="1:6" ht="15.75" x14ac:dyDescent="0.25">
      <c r="A18" s="35">
        <v>526712</v>
      </c>
      <c r="B18" s="35" t="s">
        <v>14</v>
      </c>
      <c r="C18" s="35" t="s">
        <v>1304</v>
      </c>
      <c r="D18" s="35" t="s">
        <v>2559</v>
      </c>
      <c r="E18" s="35">
        <v>37.67</v>
      </c>
      <c r="F18" s="34">
        <v>43903</v>
      </c>
    </row>
    <row r="19" spans="1:6" ht="15.75" x14ac:dyDescent="0.25">
      <c r="A19" s="35">
        <v>526713</v>
      </c>
      <c r="B19" s="35" t="s">
        <v>757</v>
      </c>
      <c r="C19" s="35" t="s">
        <v>1304</v>
      </c>
      <c r="D19" s="35" t="s">
        <v>2559</v>
      </c>
      <c r="E19" s="35">
        <v>6</v>
      </c>
      <c r="F19" s="34">
        <v>43903</v>
      </c>
    </row>
    <row r="20" spans="1:6" ht="15.75" x14ac:dyDescent="0.25">
      <c r="A20" s="35">
        <v>526742</v>
      </c>
      <c r="B20" s="35" t="s">
        <v>26</v>
      </c>
      <c r="C20" s="35" t="s">
        <v>1304</v>
      </c>
      <c r="D20" s="35" t="s">
        <v>2559</v>
      </c>
      <c r="E20" s="35">
        <v>11.3</v>
      </c>
      <c r="F20" s="34">
        <v>43903</v>
      </c>
    </row>
    <row r="21" spans="1:6" ht="15.75" x14ac:dyDescent="0.25">
      <c r="A21" s="35">
        <v>526120</v>
      </c>
      <c r="B21" s="35" t="s">
        <v>217</v>
      </c>
      <c r="C21" s="35" t="s">
        <v>1158</v>
      </c>
      <c r="D21" s="35" t="s">
        <v>2560</v>
      </c>
      <c r="E21" s="35">
        <v>35.33</v>
      </c>
      <c r="F21" s="34">
        <v>43907</v>
      </c>
    </row>
    <row r="22" spans="1:6" ht="15.75" x14ac:dyDescent="0.25">
      <c r="A22" s="35">
        <v>558921</v>
      </c>
      <c r="B22" s="35" t="s">
        <v>262</v>
      </c>
      <c r="C22" s="35" t="s">
        <v>222</v>
      </c>
      <c r="D22" s="35" t="s">
        <v>2561</v>
      </c>
      <c r="E22" s="35">
        <v>660</v>
      </c>
      <c r="F22" s="34">
        <v>43907</v>
      </c>
    </row>
    <row r="23" spans="1:6" ht="15.75" x14ac:dyDescent="0.25">
      <c r="A23" s="35">
        <v>526712</v>
      </c>
      <c r="B23" s="35" t="s">
        <v>14</v>
      </c>
      <c r="C23" s="35" t="s">
        <v>2039</v>
      </c>
      <c r="D23" s="35" t="s">
        <v>2566</v>
      </c>
      <c r="E23" s="35">
        <v>180.58</v>
      </c>
      <c r="F23" s="334">
        <v>43910</v>
      </c>
    </row>
    <row r="24" spans="1:6" ht="15.75" x14ac:dyDescent="0.25">
      <c r="A24" s="35">
        <v>526713</v>
      </c>
      <c r="B24" s="35" t="s">
        <v>757</v>
      </c>
      <c r="C24" s="35" t="s">
        <v>2039</v>
      </c>
      <c r="D24" s="35" t="s">
        <v>2566</v>
      </c>
      <c r="E24" s="35">
        <v>6</v>
      </c>
      <c r="F24" s="334">
        <v>43910</v>
      </c>
    </row>
    <row r="25" spans="1:6" ht="15.75" x14ac:dyDescent="0.25">
      <c r="A25" s="35">
        <v>558979</v>
      </c>
      <c r="B25" s="35" t="s">
        <v>150</v>
      </c>
      <c r="C25" s="35" t="s">
        <v>2214</v>
      </c>
      <c r="D25" s="35" t="s">
        <v>2567</v>
      </c>
      <c r="E25" s="35">
        <v>-125</v>
      </c>
      <c r="F25" s="334">
        <v>43914</v>
      </c>
    </row>
    <row r="26" spans="1:6" ht="15.75" x14ac:dyDescent="0.25">
      <c r="A26" s="35">
        <v>558979</v>
      </c>
      <c r="B26" s="35" t="s">
        <v>150</v>
      </c>
      <c r="C26" s="35" t="s">
        <v>2203</v>
      </c>
      <c r="D26" s="35" t="s">
        <v>2568</v>
      </c>
      <c r="E26" s="35">
        <v>-125</v>
      </c>
      <c r="F26" s="334">
        <v>43914</v>
      </c>
    </row>
    <row r="27" spans="1:6" ht="15.75" x14ac:dyDescent="0.25">
      <c r="A27" s="35">
        <v>558979</v>
      </c>
      <c r="B27" s="35" t="s">
        <v>150</v>
      </c>
      <c r="C27" s="35" t="s">
        <v>2227</v>
      </c>
      <c r="D27" s="35" t="s">
        <v>2569</v>
      </c>
      <c r="E27" s="35">
        <v>125</v>
      </c>
      <c r="F27" s="334">
        <v>43914</v>
      </c>
    </row>
    <row r="28" spans="1:6" ht="15.75" x14ac:dyDescent="0.25">
      <c r="A28" s="35">
        <v>558979</v>
      </c>
      <c r="B28" s="35" t="s">
        <v>150</v>
      </c>
      <c r="C28" s="35" t="s">
        <v>2206</v>
      </c>
      <c r="D28" s="35" t="s">
        <v>2570</v>
      </c>
      <c r="E28" s="35">
        <v>125</v>
      </c>
      <c r="F28" s="334">
        <v>43914</v>
      </c>
    </row>
    <row r="29" spans="1:6" ht="15.75" x14ac:dyDescent="0.25">
      <c r="A29" s="35">
        <v>558979</v>
      </c>
      <c r="B29" s="35" t="s">
        <v>150</v>
      </c>
      <c r="C29" s="35" t="s">
        <v>2511</v>
      </c>
      <c r="D29" s="35" t="s">
        <v>2571</v>
      </c>
      <c r="E29" s="35">
        <v>125</v>
      </c>
      <c r="F29" s="334">
        <v>43914</v>
      </c>
    </row>
    <row r="30" spans="1:6" ht="15.75" x14ac:dyDescent="0.25">
      <c r="A30" s="35">
        <v>558979</v>
      </c>
      <c r="B30" s="35" t="s">
        <v>150</v>
      </c>
      <c r="C30" s="35" t="s">
        <v>281</v>
      </c>
      <c r="D30" s="35" t="s">
        <v>2572</v>
      </c>
      <c r="E30" s="35">
        <v>650</v>
      </c>
      <c r="F30" s="334">
        <v>43914</v>
      </c>
    </row>
    <row r="31" spans="1:6" ht="15.75" x14ac:dyDescent="0.25">
      <c r="A31" s="35">
        <v>558979</v>
      </c>
      <c r="B31" s="35" t="s">
        <v>150</v>
      </c>
      <c r="C31" s="35" t="s">
        <v>2220</v>
      </c>
      <c r="D31" s="35" t="s">
        <v>2573</v>
      </c>
      <c r="E31" s="35">
        <v>125</v>
      </c>
      <c r="F31" s="334">
        <v>43914</v>
      </c>
    </row>
    <row r="32" spans="1:6" ht="15.75" x14ac:dyDescent="0.25">
      <c r="A32" s="35">
        <v>558979</v>
      </c>
      <c r="B32" s="35" t="s">
        <v>150</v>
      </c>
      <c r="C32" s="35" t="s">
        <v>2229</v>
      </c>
      <c r="D32" s="35" t="s">
        <v>2574</v>
      </c>
      <c r="E32" s="35">
        <v>125</v>
      </c>
      <c r="F32" s="334">
        <v>43914</v>
      </c>
    </row>
    <row r="33" spans="1:6" ht="15.75" x14ac:dyDescent="0.25">
      <c r="A33" s="35">
        <v>558979</v>
      </c>
      <c r="B33" s="35" t="s">
        <v>150</v>
      </c>
      <c r="C33" s="35" t="s">
        <v>2227</v>
      </c>
      <c r="D33" s="35" t="s">
        <v>2569</v>
      </c>
      <c r="E33" s="35">
        <v>125</v>
      </c>
      <c r="F33" s="334">
        <v>43914</v>
      </c>
    </row>
    <row r="34" spans="1:6" ht="15.75" x14ac:dyDescent="0.25">
      <c r="A34" s="35">
        <v>558979</v>
      </c>
      <c r="B34" s="35" t="s">
        <v>150</v>
      </c>
      <c r="C34" s="35" t="s">
        <v>2186</v>
      </c>
      <c r="D34" s="35" t="s">
        <v>2575</v>
      </c>
      <c r="E34" s="35">
        <v>125</v>
      </c>
      <c r="F34" s="334">
        <v>43914</v>
      </c>
    </row>
    <row r="35" spans="1:6" ht="15.75" x14ac:dyDescent="0.25">
      <c r="A35" s="35">
        <v>558979</v>
      </c>
      <c r="B35" s="35" t="s">
        <v>150</v>
      </c>
      <c r="C35" s="35" t="s">
        <v>15</v>
      </c>
      <c r="D35" s="35" t="s">
        <v>2576</v>
      </c>
      <c r="E35" s="35">
        <v>-200</v>
      </c>
      <c r="F35" s="334">
        <v>43914</v>
      </c>
    </row>
    <row r="36" spans="1:6" ht="15.75" x14ac:dyDescent="0.25">
      <c r="A36" s="35">
        <v>558979</v>
      </c>
      <c r="B36" s="35" t="s">
        <v>150</v>
      </c>
      <c r="C36" s="35" t="s">
        <v>2211</v>
      </c>
      <c r="D36" s="35" t="s">
        <v>2577</v>
      </c>
      <c r="E36" s="35">
        <v>125</v>
      </c>
      <c r="F36" s="334">
        <v>43914</v>
      </c>
    </row>
    <row r="37" spans="1:6" ht="15.75" x14ac:dyDescent="0.25">
      <c r="A37" s="35">
        <v>558979</v>
      </c>
      <c r="B37" s="35" t="s">
        <v>150</v>
      </c>
      <c r="C37" s="35" t="s">
        <v>2236</v>
      </c>
      <c r="D37" s="35" t="s">
        <v>2578</v>
      </c>
      <c r="E37" s="35">
        <v>125</v>
      </c>
      <c r="F37" s="334">
        <v>43914</v>
      </c>
    </row>
    <row r="38" spans="1:6" ht="15.75" x14ac:dyDescent="0.25">
      <c r="A38" s="35">
        <v>558979</v>
      </c>
      <c r="B38" s="35" t="s">
        <v>150</v>
      </c>
      <c r="C38" s="35" t="s">
        <v>2214</v>
      </c>
      <c r="D38" s="35" t="s">
        <v>2567</v>
      </c>
      <c r="E38" s="35">
        <v>125</v>
      </c>
      <c r="F38" s="334">
        <v>43914</v>
      </c>
    </row>
    <row r="39" spans="1:6" ht="15.75" x14ac:dyDescent="0.25">
      <c r="A39" s="35">
        <v>558979</v>
      </c>
      <c r="B39" s="35" t="s">
        <v>150</v>
      </c>
      <c r="C39" s="35" t="s">
        <v>21</v>
      </c>
      <c r="D39" s="35" t="s">
        <v>2579</v>
      </c>
      <c r="E39" s="35">
        <v>-200</v>
      </c>
      <c r="F39" s="334">
        <v>43914</v>
      </c>
    </row>
    <row r="40" spans="1:6" ht="15.75" x14ac:dyDescent="0.25">
      <c r="A40" s="35">
        <v>558979</v>
      </c>
      <c r="B40" s="35" t="s">
        <v>150</v>
      </c>
      <c r="C40" s="35" t="s">
        <v>2002</v>
      </c>
      <c r="D40" s="35" t="s">
        <v>2580</v>
      </c>
      <c r="E40" s="35">
        <v>225</v>
      </c>
      <c r="F40" s="334">
        <v>43914</v>
      </c>
    </row>
    <row r="41" spans="1:6" ht="15.75" x14ac:dyDescent="0.25">
      <c r="A41" s="35">
        <v>558979</v>
      </c>
      <c r="B41" s="35" t="s">
        <v>150</v>
      </c>
      <c r="C41" s="35" t="s">
        <v>1410</v>
      </c>
      <c r="D41" s="35" t="s">
        <v>2581</v>
      </c>
      <c r="E41" s="35">
        <v>200</v>
      </c>
      <c r="F41" s="334">
        <v>43914</v>
      </c>
    </row>
    <row r="42" spans="1:6" ht="15.75" x14ac:dyDescent="0.25">
      <c r="A42" s="35">
        <v>558979</v>
      </c>
      <c r="B42" s="35" t="s">
        <v>150</v>
      </c>
      <c r="C42" s="35" t="s">
        <v>2211</v>
      </c>
      <c r="D42" s="35" t="s">
        <v>2577</v>
      </c>
      <c r="E42" s="35">
        <v>125</v>
      </c>
      <c r="F42" s="334">
        <v>43914</v>
      </c>
    </row>
    <row r="43" spans="1:6" ht="15.75" x14ac:dyDescent="0.25">
      <c r="A43" s="35">
        <v>558979</v>
      </c>
      <c r="B43" s="35" t="s">
        <v>150</v>
      </c>
      <c r="C43" s="35" t="s">
        <v>2186</v>
      </c>
      <c r="D43" s="35" t="s">
        <v>2575</v>
      </c>
      <c r="E43" s="35">
        <v>-125</v>
      </c>
      <c r="F43" s="334">
        <v>43914</v>
      </c>
    </row>
    <row r="44" spans="1:6" ht="15.75" x14ac:dyDescent="0.25">
      <c r="A44" s="35">
        <v>558979</v>
      </c>
      <c r="B44" s="35" t="s">
        <v>150</v>
      </c>
      <c r="C44" s="35" t="s">
        <v>2236</v>
      </c>
      <c r="D44" s="35" t="s">
        <v>2578</v>
      </c>
      <c r="E44" s="35">
        <v>125</v>
      </c>
      <c r="F44" s="334">
        <v>43914</v>
      </c>
    </row>
    <row r="45" spans="1:6" ht="15.75" x14ac:dyDescent="0.25">
      <c r="A45" s="35">
        <v>558979</v>
      </c>
      <c r="B45" s="35" t="s">
        <v>150</v>
      </c>
      <c r="C45" s="35" t="s">
        <v>2236</v>
      </c>
      <c r="D45" s="35" t="s">
        <v>2578</v>
      </c>
      <c r="E45" s="35">
        <v>-125</v>
      </c>
      <c r="F45" s="334">
        <v>43914</v>
      </c>
    </row>
    <row r="46" spans="1:6" ht="15.75" x14ac:dyDescent="0.25">
      <c r="A46" s="35">
        <v>558979</v>
      </c>
      <c r="B46" s="35" t="s">
        <v>150</v>
      </c>
      <c r="C46" s="35" t="s">
        <v>1493</v>
      </c>
      <c r="D46" s="35" t="s">
        <v>2582</v>
      </c>
      <c r="E46" s="35">
        <v>200</v>
      </c>
      <c r="F46" s="334">
        <v>43914</v>
      </c>
    </row>
    <row r="47" spans="1:6" ht="15.75" x14ac:dyDescent="0.25">
      <c r="A47" s="35">
        <v>558979</v>
      </c>
      <c r="B47" s="35" t="s">
        <v>150</v>
      </c>
      <c r="C47" s="35" t="s">
        <v>2583</v>
      </c>
      <c r="D47" s="35" t="s">
        <v>2584</v>
      </c>
      <c r="E47" s="35">
        <v>125</v>
      </c>
      <c r="F47" s="334">
        <v>43914</v>
      </c>
    </row>
    <row r="48" spans="1:6" ht="15.75" x14ac:dyDescent="0.25">
      <c r="A48" s="35">
        <v>558979</v>
      </c>
      <c r="B48" s="35" t="s">
        <v>150</v>
      </c>
      <c r="C48" s="35" t="s">
        <v>2511</v>
      </c>
      <c r="D48" s="35" t="s">
        <v>2571</v>
      </c>
      <c r="E48" s="35">
        <v>-125</v>
      </c>
      <c r="F48" s="334">
        <v>43914</v>
      </c>
    </row>
    <row r="49" spans="1:6" ht="15.75" x14ac:dyDescent="0.25">
      <c r="A49" s="35">
        <v>558979</v>
      </c>
      <c r="B49" s="35" t="s">
        <v>150</v>
      </c>
      <c r="C49" s="35" t="s">
        <v>2447</v>
      </c>
      <c r="D49" s="35" t="s">
        <v>2585</v>
      </c>
      <c r="E49" s="35">
        <v>200</v>
      </c>
      <c r="F49" s="334">
        <v>43914</v>
      </c>
    </row>
    <row r="50" spans="1:6" ht="15.75" x14ac:dyDescent="0.25">
      <c r="A50" s="35">
        <v>558979</v>
      </c>
      <c r="B50" s="35" t="s">
        <v>150</v>
      </c>
      <c r="C50" s="35" t="s">
        <v>2216</v>
      </c>
      <c r="D50" s="35" t="s">
        <v>2586</v>
      </c>
      <c r="E50" s="35">
        <v>125</v>
      </c>
      <c r="F50" s="334">
        <v>43914</v>
      </c>
    </row>
    <row r="51" spans="1:6" ht="15.75" x14ac:dyDescent="0.25">
      <c r="A51" s="35">
        <v>558979</v>
      </c>
      <c r="B51" s="35" t="s">
        <v>150</v>
      </c>
      <c r="C51" s="35" t="s">
        <v>2233</v>
      </c>
      <c r="D51" s="35" t="s">
        <v>2587</v>
      </c>
      <c r="E51" s="35">
        <v>-125</v>
      </c>
      <c r="F51" s="334">
        <v>43914</v>
      </c>
    </row>
    <row r="52" spans="1:6" ht="15.75" x14ac:dyDescent="0.25">
      <c r="A52" s="35">
        <v>558979</v>
      </c>
      <c r="B52" s="35" t="s">
        <v>150</v>
      </c>
      <c r="C52" s="35" t="s">
        <v>2157</v>
      </c>
      <c r="D52" s="35" t="s">
        <v>2588</v>
      </c>
      <c r="E52" s="35">
        <v>125</v>
      </c>
      <c r="F52" s="334">
        <v>43914</v>
      </c>
    </row>
    <row r="53" spans="1:6" ht="15.75" x14ac:dyDescent="0.25">
      <c r="A53" s="35">
        <v>558979</v>
      </c>
      <c r="B53" s="35" t="s">
        <v>150</v>
      </c>
      <c r="C53" s="35" t="s">
        <v>2211</v>
      </c>
      <c r="D53" s="35" t="s">
        <v>2577</v>
      </c>
      <c r="E53" s="35">
        <v>-125</v>
      </c>
      <c r="F53" s="334">
        <v>43914</v>
      </c>
    </row>
    <row r="54" spans="1:6" ht="15.75" x14ac:dyDescent="0.25">
      <c r="A54" s="35">
        <v>558979</v>
      </c>
      <c r="B54" s="35" t="s">
        <v>150</v>
      </c>
      <c r="C54" s="35" t="s">
        <v>1431</v>
      </c>
      <c r="D54" s="35" t="s">
        <v>2589</v>
      </c>
      <c r="E54" s="35">
        <v>200</v>
      </c>
      <c r="F54" s="334">
        <v>43914</v>
      </c>
    </row>
    <row r="55" spans="1:6" ht="15.75" x14ac:dyDescent="0.25">
      <c r="A55" s="35">
        <v>558979</v>
      </c>
      <c r="B55" s="35" t="s">
        <v>150</v>
      </c>
      <c r="C55" s="35" t="s">
        <v>2206</v>
      </c>
      <c r="D55" s="35" t="s">
        <v>2570</v>
      </c>
      <c r="E55" s="35">
        <v>-125</v>
      </c>
      <c r="F55" s="334">
        <v>43914</v>
      </c>
    </row>
    <row r="56" spans="1:6" ht="15.75" x14ac:dyDescent="0.25">
      <c r="A56" s="35">
        <v>558979</v>
      </c>
      <c r="B56" s="35" t="s">
        <v>150</v>
      </c>
      <c r="C56" s="35" t="s">
        <v>21</v>
      </c>
      <c r="D56" s="35" t="s">
        <v>2579</v>
      </c>
      <c r="E56" s="35">
        <v>200</v>
      </c>
      <c r="F56" s="334">
        <v>43914</v>
      </c>
    </row>
    <row r="57" spans="1:6" ht="15.75" x14ac:dyDescent="0.25">
      <c r="A57" s="35">
        <v>558979</v>
      </c>
      <c r="B57" s="35" t="s">
        <v>150</v>
      </c>
      <c r="C57" s="35" t="s">
        <v>2208</v>
      </c>
      <c r="D57" s="35" t="s">
        <v>2590</v>
      </c>
      <c r="E57" s="35">
        <v>125</v>
      </c>
      <c r="F57" s="334">
        <v>43914</v>
      </c>
    </row>
    <row r="58" spans="1:6" ht="15.75" x14ac:dyDescent="0.25">
      <c r="A58" s="35">
        <v>558979</v>
      </c>
      <c r="B58" s="35" t="s">
        <v>150</v>
      </c>
      <c r="C58" s="35" t="s">
        <v>2233</v>
      </c>
      <c r="D58" s="35" t="s">
        <v>2587</v>
      </c>
      <c r="E58" s="35">
        <v>125</v>
      </c>
      <c r="F58" s="334">
        <v>43914</v>
      </c>
    </row>
    <row r="59" spans="1:6" ht="15.75" x14ac:dyDescent="0.25">
      <c r="A59" s="35">
        <v>558979</v>
      </c>
      <c r="B59" s="35" t="s">
        <v>150</v>
      </c>
      <c r="C59" s="35" t="s">
        <v>2227</v>
      </c>
      <c r="D59" s="35" t="s">
        <v>2569</v>
      </c>
      <c r="E59" s="35">
        <v>-125</v>
      </c>
      <c r="F59" s="334">
        <v>43914</v>
      </c>
    </row>
    <row r="60" spans="1:6" ht="15.75" x14ac:dyDescent="0.25">
      <c r="A60" s="35">
        <v>558979</v>
      </c>
      <c r="B60" s="35" t="s">
        <v>150</v>
      </c>
      <c r="C60" s="35" t="s">
        <v>2511</v>
      </c>
      <c r="D60" s="35" t="s">
        <v>2571</v>
      </c>
      <c r="E60" s="35">
        <v>125</v>
      </c>
      <c r="F60" s="334">
        <v>43914</v>
      </c>
    </row>
    <row r="61" spans="1:6" ht="15.75" x14ac:dyDescent="0.25">
      <c r="A61" s="35">
        <v>558979</v>
      </c>
      <c r="B61" s="35" t="s">
        <v>150</v>
      </c>
      <c r="C61" s="35" t="s">
        <v>2222</v>
      </c>
      <c r="D61" s="35" t="s">
        <v>2591</v>
      </c>
      <c r="E61" s="35">
        <v>125</v>
      </c>
      <c r="F61" s="334">
        <v>43914</v>
      </c>
    </row>
    <row r="62" spans="1:6" ht="15.75" x14ac:dyDescent="0.25">
      <c r="A62" s="35">
        <v>558979</v>
      </c>
      <c r="B62" s="35" t="s">
        <v>150</v>
      </c>
      <c r="C62" s="35" t="s">
        <v>2224</v>
      </c>
      <c r="D62" s="35" t="s">
        <v>2592</v>
      </c>
      <c r="E62" s="35">
        <v>125</v>
      </c>
      <c r="F62" s="334">
        <v>43914</v>
      </c>
    </row>
    <row r="63" spans="1:6" ht="15.75" x14ac:dyDescent="0.25">
      <c r="A63" s="35">
        <v>558979</v>
      </c>
      <c r="B63" s="35" t="s">
        <v>150</v>
      </c>
      <c r="C63" s="35" t="s">
        <v>1493</v>
      </c>
      <c r="D63" s="35" t="s">
        <v>2582</v>
      </c>
      <c r="E63" s="35">
        <v>200</v>
      </c>
      <c r="F63" s="334">
        <v>43914</v>
      </c>
    </row>
    <row r="64" spans="1:6" ht="15.75" x14ac:dyDescent="0.25">
      <c r="A64" s="35">
        <v>558979</v>
      </c>
      <c r="B64" s="35" t="s">
        <v>150</v>
      </c>
      <c r="C64" s="35" t="s">
        <v>2157</v>
      </c>
      <c r="D64" s="35" t="s">
        <v>2588</v>
      </c>
      <c r="E64" s="35">
        <v>125</v>
      </c>
      <c r="F64" s="334">
        <v>43914</v>
      </c>
    </row>
    <row r="65" spans="1:6" ht="15.75" x14ac:dyDescent="0.25">
      <c r="A65" s="35">
        <v>558979</v>
      </c>
      <c r="B65" s="35" t="s">
        <v>150</v>
      </c>
      <c r="C65" s="35" t="s">
        <v>2186</v>
      </c>
      <c r="D65" s="35" t="s">
        <v>2575</v>
      </c>
      <c r="E65" s="35">
        <v>125</v>
      </c>
      <c r="F65" s="334">
        <v>43914</v>
      </c>
    </row>
    <row r="66" spans="1:6" ht="15.75" x14ac:dyDescent="0.25">
      <c r="A66" s="35">
        <v>558979</v>
      </c>
      <c r="B66" s="35" t="s">
        <v>150</v>
      </c>
      <c r="C66" s="35" t="s">
        <v>2220</v>
      </c>
      <c r="D66" s="35" t="s">
        <v>2573</v>
      </c>
      <c r="E66" s="35">
        <v>-125</v>
      </c>
      <c r="F66" s="334">
        <v>43914</v>
      </c>
    </row>
    <row r="67" spans="1:6" ht="15.75" x14ac:dyDescent="0.25">
      <c r="A67" s="35">
        <v>558979</v>
      </c>
      <c r="B67" s="35" t="s">
        <v>150</v>
      </c>
      <c r="C67" s="35" t="s">
        <v>15</v>
      </c>
      <c r="D67" s="35" t="s">
        <v>2576</v>
      </c>
      <c r="E67" s="35">
        <v>200</v>
      </c>
      <c r="F67" s="334">
        <v>43914</v>
      </c>
    </row>
    <row r="68" spans="1:6" ht="15.75" x14ac:dyDescent="0.25">
      <c r="A68" s="35">
        <v>558979</v>
      </c>
      <c r="B68" s="35" t="s">
        <v>150</v>
      </c>
      <c r="C68" s="35" t="s">
        <v>2216</v>
      </c>
      <c r="D68" s="35" t="s">
        <v>2586</v>
      </c>
      <c r="E68" s="35">
        <v>-125</v>
      </c>
      <c r="F68" s="334">
        <v>43914</v>
      </c>
    </row>
    <row r="69" spans="1:6" ht="15.75" x14ac:dyDescent="0.25">
      <c r="A69" s="35">
        <v>558979</v>
      </c>
      <c r="B69" s="35" t="s">
        <v>150</v>
      </c>
      <c r="C69" s="35" t="s">
        <v>1410</v>
      </c>
      <c r="D69" s="35" t="s">
        <v>2581</v>
      </c>
      <c r="E69" s="35">
        <v>200</v>
      </c>
      <c r="F69" s="334">
        <v>43914</v>
      </c>
    </row>
    <row r="70" spans="1:6" ht="15.75" x14ac:dyDescent="0.25">
      <c r="A70" s="35">
        <v>558979</v>
      </c>
      <c r="B70" s="35" t="s">
        <v>150</v>
      </c>
      <c r="C70" s="35" t="s">
        <v>2447</v>
      </c>
      <c r="D70" s="35" t="s">
        <v>2585</v>
      </c>
      <c r="E70" s="35">
        <v>200</v>
      </c>
      <c r="F70" s="334">
        <v>43914</v>
      </c>
    </row>
    <row r="71" spans="1:6" ht="15.75" x14ac:dyDescent="0.25">
      <c r="A71" s="35">
        <v>558979</v>
      </c>
      <c r="B71" s="35" t="s">
        <v>150</v>
      </c>
      <c r="C71" s="35" t="s">
        <v>2208</v>
      </c>
      <c r="D71" s="35" t="s">
        <v>2590</v>
      </c>
      <c r="E71" s="35">
        <v>125</v>
      </c>
      <c r="F71" s="334">
        <v>43914</v>
      </c>
    </row>
    <row r="72" spans="1:6" ht="15.75" x14ac:dyDescent="0.25">
      <c r="A72" s="35">
        <v>558979</v>
      </c>
      <c r="B72" s="35" t="s">
        <v>150</v>
      </c>
      <c r="C72" s="35" t="s">
        <v>2229</v>
      </c>
      <c r="D72" s="35" t="s">
        <v>2574</v>
      </c>
      <c r="E72" s="35">
        <v>125</v>
      </c>
      <c r="F72" s="334">
        <v>43914</v>
      </c>
    </row>
    <row r="73" spans="1:6" ht="15.75" x14ac:dyDescent="0.25">
      <c r="A73" s="35">
        <v>558979</v>
      </c>
      <c r="B73" s="35" t="s">
        <v>150</v>
      </c>
      <c r="C73" s="35" t="s">
        <v>2002</v>
      </c>
      <c r="D73" s="35" t="s">
        <v>2580</v>
      </c>
      <c r="E73" s="35">
        <v>-225</v>
      </c>
      <c r="F73" s="334">
        <v>43914</v>
      </c>
    </row>
    <row r="74" spans="1:6" ht="15.75" x14ac:dyDescent="0.25">
      <c r="A74" s="35">
        <v>558979</v>
      </c>
      <c r="B74" s="35" t="s">
        <v>150</v>
      </c>
      <c r="C74" s="35" t="s">
        <v>1304</v>
      </c>
      <c r="D74" s="35" t="s">
        <v>2593</v>
      </c>
      <c r="E74" s="35">
        <v>-400</v>
      </c>
      <c r="F74" s="334">
        <v>43914</v>
      </c>
    </row>
    <row r="75" spans="1:6" ht="15.75" x14ac:dyDescent="0.25">
      <c r="A75" s="35">
        <v>558979</v>
      </c>
      <c r="B75" s="35" t="s">
        <v>150</v>
      </c>
      <c r="C75" s="35" t="s">
        <v>2222</v>
      </c>
      <c r="D75" s="35" t="s">
        <v>2591</v>
      </c>
      <c r="E75" s="35">
        <v>-125</v>
      </c>
      <c r="F75" s="334">
        <v>43914</v>
      </c>
    </row>
    <row r="76" spans="1:6" ht="15.75" x14ac:dyDescent="0.25">
      <c r="A76" s="35">
        <v>558979</v>
      </c>
      <c r="B76" s="35" t="s">
        <v>150</v>
      </c>
      <c r="C76" s="35" t="s">
        <v>2214</v>
      </c>
      <c r="D76" s="35" t="s">
        <v>2567</v>
      </c>
      <c r="E76" s="35">
        <v>125</v>
      </c>
      <c r="F76" s="334">
        <v>43914</v>
      </c>
    </row>
    <row r="77" spans="1:6" ht="15.75" x14ac:dyDescent="0.25">
      <c r="A77" s="35">
        <v>558979</v>
      </c>
      <c r="B77" s="35" t="s">
        <v>150</v>
      </c>
      <c r="C77" s="35" t="s">
        <v>1410</v>
      </c>
      <c r="D77" s="35" t="s">
        <v>2581</v>
      </c>
      <c r="E77" s="35">
        <v>-200</v>
      </c>
      <c r="F77" s="334">
        <v>43914</v>
      </c>
    </row>
    <row r="78" spans="1:6" ht="15.75" x14ac:dyDescent="0.25">
      <c r="A78" s="35">
        <v>558979</v>
      </c>
      <c r="B78" s="35" t="s">
        <v>150</v>
      </c>
      <c r="C78" s="35" t="s">
        <v>2224</v>
      </c>
      <c r="D78" s="35" t="s">
        <v>2592</v>
      </c>
      <c r="E78" s="35">
        <v>-125</v>
      </c>
      <c r="F78" s="334">
        <v>43914</v>
      </c>
    </row>
    <row r="79" spans="1:6" ht="15.75" x14ac:dyDescent="0.25">
      <c r="A79" s="35">
        <v>558979</v>
      </c>
      <c r="B79" s="35" t="s">
        <v>150</v>
      </c>
      <c r="C79" s="35" t="s">
        <v>2224</v>
      </c>
      <c r="D79" s="35" t="s">
        <v>2592</v>
      </c>
      <c r="E79" s="35">
        <v>125</v>
      </c>
      <c r="F79" s="334">
        <v>43914</v>
      </c>
    </row>
    <row r="80" spans="1:6" ht="15.75" x14ac:dyDescent="0.25">
      <c r="A80" s="35">
        <v>558979</v>
      </c>
      <c r="B80" s="35" t="s">
        <v>150</v>
      </c>
      <c r="C80" s="35" t="s">
        <v>281</v>
      </c>
      <c r="D80" s="35" t="s">
        <v>2572</v>
      </c>
      <c r="E80" s="35">
        <v>-650</v>
      </c>
      <c r="F80" s="334">
        <v>43914</v>
      </c>
    </row>
    <row r="81" spans="1:6" ht="15.75" x14ac:dyDescent="0.25">
      <c r="A81" s="35">
        <v>558979</v>
      </c>
      <c r="B81" s="35" t="s">
        <v>150</v>
      </c>
      <c r="C81" s="35" t="s">
        <v>2583</v>
      </c>
      <c r="D81" s="35" t="s">
        <v>2584</v>
      </c>
      <c r="E81" s="35">
        <v>125</v>
      </c>
      <c r="F81" s="334">
        <v>43914</v>
      </c>
    </row>
    <row r="82" spans="1:6" ht="15.75" x14ac:dyDescent="0.25">
      <c r="A82" s="35">
        <v>558979</v>
      </c>
      <c r="B82" s="35" t="s">
        <v>150</v>
      </c>
      <c r="C82" s="35" t="s">
        <v>15</v>
      </c>
      <c r="D82" s="35" t="s">
        <v>2576</v>
      </c>
      <c r="E82" s="35">
        <v>200</v>
      </c>
      <c r="F82" s="334">
        <v>43914</v>
      </c>
    </row>
    <row r="83" spans="1:6" ht="15.75" x14ac:dyDescent="0.25">
      <c r="A83" s="35">
        <v>558979</v>
      </c>
      <c r="B83" s="35" t="s">
        <v>150</v>
      </c>
      <c r="C83" s="35" t="s">
        <v>1431</v>
      </c>
      <c r="D83" s="35" t="s">
        <v>2589</v>
      </c>
      <c r="E83" s="35">
        <v>200</v>
      </c>
      <c r="F83" s="334">
        <v>43914</v>
      </c>
    </row>
    <row r="84" spans="1:6" ht="15.75" x14ac:dyDescent="0.25">
      <c r="A84" s="35">
        <v>558979</v>
      </c>
      <c r="B84" s="35" t="s">
        <v>150</v>
      </c>
      <c r="C84" s="35" t="s">
        <v>2203</v>
      </c>
      <c r="D84" s="35" t="s">
        <v>2568</v>
      </c>
      <c r="E84" s="35">
        <v>125</v>
      </c>
      <c r="F84" s="334">
        <v>43914</v>
      </c>
    </row>
    <row r="85" spans="1:6" ht="15.75" x14ac:dyDescent="0.25">
      <c r="A85" s="35">
        <v>558979</v>
      </c>
      <c r="B85" s="35" t="s">
        <v>150</v>
      </c>
      <c r="C85" s="35" t="s">
        <v>2583</v>
      </c>
      <c r="D85" s="35" t="s">
        <v>2584</v>
      </c>
      <c r="E85" s="35">
        <v>-125</v>
      </c>
      <c r="F85" s="334">
        <v>43914</v>
      </c>
    </row>
    <row r="86" spans="1:6" ht="15.75" x14ac:dyDescent="0.25">
      <c r="A86" s="35">
        <v>558979</v>
      </c>
      <c r="B86" s="35" t="s">
        <v>150</v>
      </c>
      <c r="C86" s="35" t="s">
        <v>2229</v>
      </c>
      <c r="D86" s="35" t="s">
        <v>2574</v>
      </c>
      <c r="E86" s="35">
        <v>-125</v>
      </c>
      <c r="F86" s="334">
        <v>43914</v>
      </c>
    </row>
    <row r="87" spans="1:6" ht="15.75" x14ac:dyDescent="0.25">
      <c r="A87" s="35">
        <v>558979</v>
      </c>
      <c r="B87" s="35" t="s">
        <v>150</v>
      </c>
      <c r="C87" s="35" t="s">
        <v>2233</v>
      </c>
      <c r="D87" s="35" t="s">
        <v>2587</v>
      </c>
      <c r="E87" s="35">
        <v>125</v>
      </c>
      <c r="F87" s="334">
        <v>43914</v>
      </c>
    </row>
    <row r="88" spans="1:6" ht="15.75" x14ac:dyDescent="0.25">
      <c r="A88" s="35">
        <v>558979</v>
      </c>
      <c r="B88" s="35" t="s">
        <v>150</v>
      </c>
      <c r="C88" s="35" t="s">
        <v>2206</v>
      </c>
      <c r="D88" s="35" t="s">
        <v>2570</v>
      </c>
      <c r="E88" s="35">
        <v>125</v>
      </c>
      <c r="F88" s="334">
        <v>43914</v>
      </c>
    </row>
    <row r="89" spans="1:6" ht="15.75" x14ac:dyDescent="0.25">
      <c r="A89" s="35">
        <v>558979</v>
      </c>
      <c r="B89" s="35" t="s">
        <v>150</v>
      </c>
      <c r="C89" s="35" t="s">
        <v>2220</v>
      </c>
      <c r="D89" s="35" t="s">
        <v>2573</v>
      </c>
      <c r="E89" s="35">
        <v>125</v>
      </c>
      <c r="F89" s="334">
        <v>43914</v>
      </c>
    </row>
    <row r="90" spans="1:6" ht="15.75" x14ac:dyDescent="0.25">
      <c r="A90" s="35">
        <v>558979</v>
      </c>
      <c r="B90" s="35" t="s">
        <v>150</v>
      </c>
      <c r="C90" s="35" t="s">
        <v>2002</v>
      </c>
      <c r="D90" s="35" t="s">
        <v>2580</v>
      </c>
      <c r="E90" s="35">
        <v>225</v>
      </c>
      <c r="F90" s="334">
        <v>43914</v>
      </c>
    </row>
    <row r="91" spans="1:6" ht="15.75" x14ac:dyDescent="0.25">
      <c r="A91" s="35">
        <v>558979</v>
      </c>
      <c r="B91" s="35" t="s">
        <v>150</v>
      </c>
      <c r="C91" s="35" t="s">
        <v>2208</v>
      </c>
      <c r="D91" s="35" t="s">
        <v>2590</v>
      </c>
      <c r="E91" s="35">
        <v>-125</v>
      </c>
      <c r="F91" s="334">
        <v>43914</v>
      </c>
    </row>
    <row r="92" spans="1:6" ht="15.75" x14ac:dyDescent="0.25">
      <c r="A92" s="35">
        <v>558979</v>
      </c>
      <c r="B92" s="35" t="s">
        <v>150</v>
      </c>
      <c r="C92" s="35" t="s">
        <v>1304</v>
      </c>
      <c r="D92" s="35" t="s">
        <v>2593</v>
      </c>
      <c r="E92" s="35">
        <v>400</v>
      </c>
      <c r="F92" s="334">
        <v>43914</v>
      </c>
    </row>
    <row r="93" spans="1:6" ht="15.75" x14ac:dyDescent="0.25">
      <c r="A93" s="35">
        <v>558979</v>
      </c>
      <c r="B93" s="35" t="s">
        <v>150</v>
      </c>
      <c r="C93" s="35" t="s">
        <v>2216</v>
      </c>
      <c r="D93" s="35" t="s">
        <v>2586</v>
      </c>
      <c r="E93" s="35">
        <v>125</v>
      </c>
      <c r="F93" s="334">
        <v>43914</v>
      </c>
    </row>
    <row r="94" spans="1:6" ht="15.75" x14ac:dyDescent="0.25">
      <c r="A94" s="35">
        <v>558979</v>
      </c>
      <c r="B94" s="35" t="s">
        <v>150</v>
      </c>
      <c r="C94" s="35" t="s">
        <v>2157</v>
      </c>
      <c r="D94" s="35" t="s">
        <v>2588</v>
      </c>
      <c r="E94" s="35">
        <v>-125</v>
      </c>
      <c r="F94" s="334">
        <v>43914</v>
      </c>
    </row>
    <row r="95" spans="1:6" ht="15.75" x14ac:dyDescent="0.25">
      <c r="A95" s="35">
        <v>558979</v>
      </c>
      <c r="B95" s="35" t="s">
        <v>150</v>
      </c>
      <c r="C95" s="35" t="s">
        <v>281</v>
      </c>
      <c r="D95" s="35" t="s">
        <v>2572</v>
      </c>
      <c r="E95" s="35">
        <v>650</v>
      </c>
      <c r="F95" s="334">
        <v>43914</v>
      </c>
    </row>
    <row r="96" spans="1:6" ht="15.75" x14ac:dyDescent="0.25">
      <c r="A96" s="35">
        <v>558979</v>
      </c>
      <c r="B96" s="35" t="s">
        <v>150</v>
      </c>
      <c r="C96" s="35" t="s">
        <v>2447</v>
      </c>
      <c r="D96" s="35" t="s">
        <v>2585</v>
      </c>
      <c r="E96" s="35">
        <v>-200</v>
      </c>
      <c r="F96" s="334">
        <v>43914</v>
      </c>
    </row>
    <row r="97" spans="1:6" ht="15.75" x14ac:dyDescent="0.25">
      <c r="A97" s="35">
        <v>558979</v>
      </c>
      <c r="B97" s="35" t="s">
        <v>150</v>
      </c>
      <c r="C97" s="35" t="s">
        <v>1431</v>
      </c>
      <c r="D97" s="35" t="s">
        <v>2589</v>
      </c>
      <c r="E97" s="35">
        <v>-200</v>
      </c>
      <c r="F97" s="334">
        <v>43914</v>
      </c>
    </row>
    <row r="98" spans="1:6" ht="15.75" x14ac:dyDescent="0.25">
      <c r="A98" s="35">
        <v>558979</v>
      </c>
      <c r="B98" s="35" t="s">
        <v>150</v>
      </c>
      <c r="C98" s="35" t="s">
        <v>2222</v>
      </c>
      <c r="D98" s="35" t="s">
        <v>2591</v>
      </c>
      <c r="E98" s="35">
        <v>125</v>
      </c>
      <c r="F98" s="334">
        <v>43914</v>
      </c>
    </row>
    <row r="99" spans="1:6" ht="15.75" x14ac:dyDescent="0.25">
      <c r="A99" s="35">
        <v>558979</v>
      </c>
      <c r="B99" s="35" t="s">
        <v>150</v>
      </c>
      <c r="C99" s="35" t="s">
        <v>1493</v>
      </c>
      <c r="D99" s="35" t="s">
        <v>2582</v>
      </c>
      <c r="E99" s="35">
        <v>-200</v>
      </c>
      <c r="F99" s="334">
        <v>43914</v>
      </c>
    </row>
    <row r="100" spans="1:6" ht="15.75" x14ac:dyDescent="0.25">
      <c r="A100" s="35">
        <v>558979</v>
      </c>
      <c r="B100" s="35" t="s">
        <v>150</v>
      </c>
      <c r="C100" s="35" t="s">
        <v>21</v>
      </c>
      <c r="D100" s="35" t="s">
        <v>2579</v>
      </c>
      <c r="E100" s="35">
        <v>200</v>
      </c>
      <c r="F100" s="334">
        <v>43914</v>
      </c>
    </row>
    <row r="101" spans="1:6" ht="15.75" x14ac:dyDescent="0.25">
      <c r="A101" s="35">
        <v>558979</v>
      </c>
      <c r="B101" s="35" t="s">
        <v>150</v>
      </c>
      <c r="C101" s="35" t="s">
        <v>1304</v>
      </c>
      <c r="D101" s="35" t="s">
        <v>2593</v>
      </c>
      <c r="E101" s="35">
        <v>400</v>
      </c>
      <c r="F101" s="334">
        <v>43914</v>
      </c>
    </row>
    <row r="102" spans="1:6" ht="15.75" x14ac:dyDescent="0.25">
      <c r="A102" s="35">
        <v>558979</v>
      </c>
      <c r="B102" s="35" t="s">
        <v>150</v>
      </c>
      <c r="C102" s="35" t="s">
        <v>2203</v>
      </c>
      <c r="D102" s="35" t="s">
        <v>2568</v>
      </c>
      <c r="E102" s="35">
        <v>125</v>
      </c>
      <c r="F102" s="334">
        <v>43914</v>
      </c>
    </row>
    <row r="103" spans="1:6" ht="15.75" x14ac:dyDescent="0.25">
      <c r="A103" s="35">
        <v>587890</v>
      </c>
      <c r="B103" s="35" t="s">
        <v>32</v>
      </c>
      <c r="C103" s="35" t="s">
        <v>464</v>
      </c>
      <c r="D103" s="35" t="s">
        <v>2594</v>
      </c>
      <c r="E103" s="35">
        <v>8400</v>
      </c>
      <c r="F103" s="334">
        <v>43916</v>
      </c>
    </row>
    <row r="104" spans="1:6" ht="15.75" x14ac:dyDescent="0.25">
      <c r="A104" s="35">
        <v>587890</v>
      </c>
      <c r="B104" s="35" t="s">
        <v>32</v>
      </c>
      <c r="C104" s="35" t="s">
        <v>350</v>
      </c>
      <c r="D104" s="35" t="s">
        <v>2595</v>
      </c>
      <c r="E104" s="35">
        <v>6200</v>
      </c>
      <c r="F104" s="334">
        <v>43916</v>
      </c>
    </row>
    <row r="105" spans="1:6" ht="15.75" x14ac:dyDescent="0.25">
      <c r="A105" s="35">
        <v>587890</v>
      </c>
      <c r="B105" s="35" t="s">
        <v>32</v>
      </c>
      <c r="C105" s="35" t="s">
        <v>1514</v>
      </c>
      <c r="D105" s="35" t="s">
        <v>2596</v>
      </c>
      <c r="E105" s="35">
        <v>9200</v>
      </c>
      <c r="F105" s="334">
        <v>43917</v>
      </c>
    </row>
    <row r="106" spans="1:6" ht="15.75" x14ac:dyDescent="0.25">
      <c r="A106" s="35">
        <v>587890</v>
      </c>
      <c r="B106" s="35" t="s">
        <v>32</v>
      </c>
      <c r="C106" s="35" t="s">
        <v>462</v>
      </c>
      <c r="D106" s="35" t="s">
        <v>2597</v>
      </c>
      <c r="E106" s="35">
        <v>10000</v>
      </c>
      <c r="F106" s="334">
        <v>43917</v>
      </c>
    </row>
    <row r="107" spans="1:6" ht="15.75" x14ac:dyDescent="0.25">
      <c r="A107" s="35">
        <v>587890</v>
      </c>
      <c r="B107" s="35" t="s">
        <v>32</v>
      </c>
      <c r="C107" s="35" t="s">
        <v>445</v>
      </c>
      <c r="D107" s="35" t="s">
        <v>2598</v>
      </c>
      <c r="E107" s="35">
        <v>6400</v>
      </c>
      <c r="F107" s="334">
        <v>43917</v>
      </c>
    </row>
    <row r="108" spans="1:6" ht="15.75" x14ac:dyDescent="0.25">
      <c r="A108" s="35">
        <v>587890</v>
      </c>
      <c r="B108" s="35" t="s">
        <v>32</v>
      </c>
      <c r="C108" s="35" t="s">
        <v>1390</v>
      </c>
      <c r="D108" s="35" t="s">
        <v>2599</v>
      </c>
      <c r="E108" s="35">
        <v>10400</v>
      </c>
      <c r="F108" s="334">
        <v>43917</v>
      </c>
    </row>
    <row r="109" spans="1:6" ht="15.75" x14ac:dyDescent="0.25">
      <c r="A109" s="35">
        <v>587890</v>
      </c>
      <c r="B109" s="35" t="s">
        <v>32</v>
      </c>
      <c r="C109" s="35" t="s">
        <v>2600</v>
      </c>
      <c r="D109" s="35" t="s">
        <v>2601</v>
      </c>
      <c r="E109" s="35">
        <v>4000</v>
      </c>
      <c r="F109" s="334">
        <v>43917</v>
      </c>
    </row>
    <row r="110" spans="1:6" ht="15.75" x14ac:dyDescent="0.25">
      <c r="A110" s="35">
        <v>587890</v>
      </c>
      <c r="B110" s="35" t="s">
        <v>32</v>
      </c>
      <c r="C110" s="35" t="s">
        <v>404</v>
      </c>
      <c r="D110" s="35" t="s">
        <v>2602</v>
      </c>
      <c r="E110" s="35">
        <v>6000</v>
      </c>
      <c r="F110" s="334">
        <v>43917</v>
      </c>
    </row>
    <row r="111" spans="1:6" ht="15.75" x14ac:dyDescent="0.25">
      <c r="A111" s="35">
        <v>587890</v>
      </c>
      <c r="B111" s="35" t="s">
        <v>32</v>
      </c>
      <c r="C111" s="35" t="s">
        <v>2553</v>
      </c>
      <c r="D111" s="35" t="s">
        <v>2603</v>
      </c>
      <c r="E111" s="35">
        <v>6800</v>
      </c>
      <c r="F111" s="334">
        <v>43917</v>
      </c>
    </row>
    <row r="112" spans="1:6" ht="15.75" x14ac:dyDescent="0.25">
      <c r="A112" s="35">
        <v>587890</v>
      </c>
      <c r="B112" s="35" t="s">
        <v>32</v>
      </c>
      <c r="C112" s="35" t="s">
        <v>441</v>
      </c>
      <c r="D112" s="35" t="s">
        <v>2604</v>
      </c>
      <c r="E112" s="35">
        <v>5800</v>
      </c>
      <c r="F112" s="334">
        <v>43917</v>
      </c>
    </row>
    <row r="113" spans="1:6" ht="15.75" x14ac:dyDescent="0.25">
      <c r="A113" s="35">
        <v>587890</v>
      </c>
      <c r="B113" s="35" t="s">
        <v>32</v>
      </c>
      <c r="C113" s="35" t="s">
        <v>144</v>
      </c>
      <c r="D113" s="35" t="s">
        <v>2605</v>
      </c>
      <c r="E113" s="35">
        <v>6000</v>
      </c>
      <c r="F113" s="334">
        <v>43917</v>
      </c>
    </row>
    <row r="114" spans="1:6" ht="15.75" x14ac:dyDescent="0.25">
      <c r="A114" s="35">
        <v>587890</v>
      </c>
      <c r="B114" s="35" t="s">
        <v>32</v>
      </c>
      <c r="C114" s="35" t="s">
        <v>443</v>
      </c>
      <c r="D114" s="35" t="s">
        <v>2606</v>
      </c>
      <c r="E114" s="35">
        <v>8800</v>
      </c>
      <c r="F114" s="334">
        <v>43917</v>
      </c>
    </row>
    <row r="115" spans="1:6" ht="15.75" x14ac:dyDescent="0.25">
      <c r="A115" s="35">
        <v>587890</v>
      </c>
      <c r="B115" s="35" t="s">
        <v>32</v>
      </c>
      <c r="C115" s="35" t="s">
        <v>628</v>
      </c>
      <c r="D115" s="35" t="s">
        <v>2607</v>
      </c>
      <c r="E115" s="35">
        <v>9000</v>
      </c>
      <c r="F115" s="334">
        <v>43917</v>
      </c>
    </row>
    <row r="116" spans="1:6" ht="15.75" x14ac:dyDescent="0.25">
      <c r="A116" s="35">
        <v>587890</v>
      </c>
      <c r="B116" s="35" t="s">
        <v>32</v>
      </c>
      <c r="C116" s="35" t="s">
        <v>358</v>
      </c>
      <c r="D116" s="35" t="s">
        <v>2608</v>
      </c>
      <c r="E116" s="35">
        <v>10600</v>
      </c>
      <c r="F116" s="334">
        <v>43917</v>
      </c>
    </row>
    <row r="117" spans="1:6" ht="15.75" x14ac:dyDescent="0.25">
      <c r="A117" s="35">
        <v>587890</v>
      </c>
      <c r="B117" s="35" t="s">
        <v>32</v>
      </c>
      <c r="C117" s="35" t="s">
        <v>517</v>
      </c>
      <c r="D117" s="35" t="s">
        <v>2609</v>
      </c>
      <c r="E117" s="35">
        <v>9600</v>
      </c>
      <c r="F117" s="334">
        <v>43917</v>
      </c>
    </row>
    <row r="118" spans="1:6" ht="15.75" x14ac:dyDescent="0.25">
      <c r="A118" s="35">
        <v>587890</v>
      </c>
      <c r="B118" s="35" t="s">
        <v>32</v>
      </c>
      <c r="C118" s="35" t="s">
        <v>801</v>
      </c>
      <c r="D118" s="35" t="s">
        <v>2610</v>
      </c>
      <c r="E118" s="35">
        <v>9800</v>
      </c>
      <c r="F118" s="334">
        <v>43917</v>
      </c>
    </row>
    <row r="119" spans="1:6" ht="15.75" x14ac:dyDescent="0.25">
      <c r="A119" s="35">
        <v>587890</v>
      </c>
      <c r="B119" s="35" t="s">
        <v>32</v>
      </c>
      <c r="C119" s="35" t="s">
        <v>348</v>
      </c>
      <c r="D119" s="35" t="s">
        <v>2611</v>
      </c>
      <c r="E119" s="35">
        <v>3000</v>
      </c>
      <c r="F119" s="334">
        <v>43917</v>
      </c>
    </row>
    <row r="120" spans="1:6" ht="15.75" x14ac:dyDescent="0.25">
      <c r="A120" s="35">
        <v>511120</v>
      </c>
      <c r="B120" s="35" t="s">
        <v>6</v>
      </c>
      <c r="C120" s="35" t="s">
        <v>7</v>
      </c>
      <c r="D120" s="35" t="s">
        <v>2612</v>
      </c>
      <c r="E120" s="35">
        <v>4416.6400000000003</v>
      </c>
      <c r="F120" s="334">
        <v>43921</v>
      </c>
    </row>
    <row r="121" spans="1:6" ht="15.75" x14ac:dyDescent="0.25">
      <c r="A121" s="35">
        <v>515120</v>
      </c>
      <c r="B121" s="35" t="s">
        <v>9</v>
      </c>
      <c r="C121" s="35" t="s">
        <v>7</v>
      </c>
      <c r="D121" s="35" t="s">
        <v>2612</v>
      </c>
      <c r="E121" s="35">
        <v>269.29000000000002</v>
      </c>
      <c r="F121" s="334">
        <v>43921</v>
      </c>
    </row>
    <row r="122" spans="1:6" ht="15.75" x14ac:dyDescent="0.25">
      <c r="A122" s="35">
        <v>515130</v>
      </c>
      <c r="B122" s="35" t="s">
        <v>10</v>
      </c>
      <c r="C122" s="35" t="s">
        <v>7</v>
      </c>
      <c r="D122" s="35" t="s">
        <v>2612</v>
      </c>
      <c r="E122" s="35">
        <v>62.98</v>
      </c>
      <c r="F122" s="334">
        <v>43921</v>
      </c>
    </row>
    <row r="123" spans="1:6" ht="15.75" x14ac:dyDescent="0.25">
      <c r="A123" s="35">
        <v>515410</v>
      </c>
      <c r="B123" s="35" t="s">
        <v>11</v>
      </c>
      <c r="C123" s="35" t="s">
        <v>7</v>
      </c>
      <c r="D123" s="35" t="s">
        <v>2612</v>
      </c>
      <c r="E123" s="35">
        <v>302.10000000000002</v>
      </c>
      <c r="F123" s="334">
        <v>43921</v>
      </c>
    </row>
    <row r="124" spans="1:6" ht="15.75" x14ac:dyDescent="0.25">
      <c r="A124" s="35">
        <v>515420</v>
      </c>
      <c r="B124" s="35" t="s">
        <v>12</v>
      </c>
      <c r="C124" s="35" t="s">
        <v>7</v>
      </c>
      <c r="D124" s="35" t="s">
        <v>2612</v>
      </c>
      <c r="E124" s="35">
        <v>290.17</v>
      </c>
      <c r="F124" s="334">
        <v>43921</v>
      </c>
    </row>
    <row r="125" spans="1:6" ht="15.75" x14ac:dyDescent="0.25">
      <c r="A125" s="35">
        <v>515530</v>
      </c>
      <c r="B125" s="35" t="s">
        <v>13</v>
      </c>
      <c r="C125" s="35" t="s">
        <v>7</v>
      </c>
      <c r="D125" s="35" t="s">
        <v>2612</v>
      </c>
      <c r="E125" s="35">
        <v>357.49</v>
      </c>
      <c r="F125" s="334">
        <v>43921</v>
      </c>
    </row>
    <row r="126" spans="1:6" ht="15.75" x14ac:dyDescent="0.25">
      <c r="A126" s="35">
        <v>558982</v>
      </c>
      <c r="B126" s="35" t="s">
        <v>819</v>
      </c>
      <c r="C126" s="35" t="s">
        <v>2613</v>
      </c>
      <c r="D126" s="35" t="s">
        <v>2614</v>
      </c>
      <c r="E126" s="35">
        <v>9387.93</v>
      </c>
      <c r="F126" s="334">
        <v>43921</v>
      </c>
    </row>
    <row r="127" spans="1:6" ht="15.75" x14ac:dyDescent="0.25">
      <c r="A127" s="35">
        <v>558982</v>
      </c>
      <c r="B127" s="35" t="s">
        <v>819</v>
      </c>
      <c r="C127" s="35" t="s">
        <v>2613</v>
      </c>
      <c r="D127" s="35" t="s">
        <v>2614</v>
      </c>
      <c r="E127" s="35">
        <v>89.8</v>
      </c>
      <c r="F127" s="334">
        <v>43921</v>
      </c>
    </row>
    <row r="128" spans="1:6" ht="15.75" x14ac:dyDescent="0.25">
      <c r="A128" s="35">
        <v>431210</v>
      </c>
      <c r="B128" s="35" t="s">
        <v>33</v>
      </c>
      <c r="C128" s="35" t="s">
        <v>2615</v>
      </c>
      <c r="D128" s="35" t="s">
        <v>2616</v>
      </c>
      <c r="E128" s="35">
        <v>221.68</v>
      </c>
      <c r="F128" s="334">
        <v>43921</v>
      </c>
    </row>
    <row r="129" spans="1:6" ht="15.75" x14ac:dyDescent="0.25">
      <c r="A129" s="35"/>
      <c r="B129" s="35" t="s">
        <v>2617</v>
      </c>
      <c r="C129" s="35"/>
      <c r="D129" s="35"/>
      <c r="E129" s="35">
        <v>12813.87</v>
      </c>
      <c r="F129" s="334"/>
    </row>
    <row r="130" spans="1:6" ht="15.75" x14ac:dyDescent="0.25">
      <c r="A130" s="35"/>
      <c r="B130" s="35" t="s">
        <v>2619</v>
      </c>
      <c r="C130" s="35"/>
      <c r="D130" s="35"/>
      <c r="E130" s="35">
        <v>6461.57</v>
      </c>
      <c r="F130" s="334"/>
    </row>
    <row r="131" spans="1:6" ht="15.75" x14ac:dyDescent="0.25">
      <c r="A131" s="35"/>
      <c r="B131" s="35" t="s">
        <v>2620</v>
      </c>
      <c r="C131" s="35"/>
      <c r="D131" s="35"/>
      <c r="E131" s="35">
        <v>2394.73</v>
      </c>
      <c r="F131" s="334"/>
    </row>
    <row r="132" spans="1:6" ht="15.75" x14ac:dyDescent="0.25">
      <c r="A132" s="35"/>
      <c r="B132" s="35" t="s">
        <v>2618</v>
      </c>
      <c r="C132" s="35"/>
      <c r="D132" s="35"/>
      <c r="E132" s="35">
        <v>3190.82</v>
      </c>
      <c r="F132" s="334"/>
    </row>
    <row r="133" spans="1:6" ht="15.75" x14ac:dyDescent="0.25">
      <c r="A133" s="35"/>
      <c r="B133" s="35" t="s">
        <v>2621</v>
      </c>
      <c r="C133" s="35"/>
      <c r="D133" s="35"/>
      <c r="E133" s="35">
        <v>1000</v>
      </c>
      <c r="F133" s="334"/>
    </row>
    <row r="134" spans="1:6" ht="15.75" x14ac:dyDescent="0.25">
      <c r="A134" s="35"/>
      <c r="B134" s="35" t="s">
        <v>2622</v>
      </c>
      <c r="C134" s="35"/>
      <c r="D134" s="35"/>
      <c r="E134" s="35">
        <v>3000</v>
      </c>
      <c r="F134" s="334"/>
    </row>
    <row r="135" spans="1:6" ht="15.75" x14ac:dyDescent="0.25">
      <c r="A135" s="35"/>
      <c r="B135" s="35" t="s">
        <v>2623</v>
      </c>
      <c r="C135" s="35"/>
      <c r="D135" s="35"/>
      <c r="E135" s="35">
        <v>2425</v>
      </c>
      <c r="F135" s="334"/>
    </row>
    <row r="136" spans="1:6" ht="15.75" x14ac:dyDescent="0.25">
      <c r="A136" s="35"/>
      <c r="B136" s="35" t="s">
        <v>2624</v>
      </c>
      <c r="C136" s="35"/>
      <c r="D136" s="35"/>
      <c r="E136" s="35">
        <v>14373.48</v>
      </c>
      <c r="F136" s="334"/>
    </row>
    <row r="137" spans="1:6" ht="15.75" x14ac:dyDescent="0.25">
      <c r="A137" s="35"/>
      <c r="B137" s="35" t="s">
        <v>2625</v>
      </c>
      <c r="C137" s="35"/>
      <c r="D137" s="35"/>
      <c r="E137" s="35">
        <v>20000</v>
      </c>
      <c r="F137" s="334"/>
    </row>
    <row r="138" spans="1:6" ht="15.75" x14ac:dyDescent="0.25">
      <c r="A138" s="35"/>
      <c r="B138" s="35" t="s">
        <v>2626</v>
      </c>
      <c r="C138" s="35"/>
      <c r="D138" s="35"/>
      <c r="E138" s="35">
        <v>2079.8000000000002</v>
      </c>
      <c r="F138" s="334"/>
    </row>
    <row r="139" spans="1:6" ht="15.75" x14ac:dyDescent="0.25">
      <c r="A139" s="35"/>
      <c r="B139" s="35" t="s">
        <v>2627</v>
      </c>
      <c r="C139" s="35"/>
      <c r="D139" s="35"/>
      <c r="E139" s="35">
        <v>3000</v>
      </c>
      <c r="F139" s="334"/>
    </row>
    <row r="140" spans="1:6" ht="15.75" x14ac:dyDescent="0.25">
      <c r="A140" s="35"/>
      <c r="B140" s="35" t="s">
        <v>2628</v>
      </c>
      <c r="C140" s="35"/>
      <c r="D140" s="35"/>
      <c r="E140" s="35">
        <v>3795</v>
      </c>
      <c r="F140" s="334"/>
    </row>
    <row r="141" spans="1:6" ht="15.75" x14ac:dyDescent="0.25">
      <c r="A141" s="35"/>
      <c r="B141" s="35" t="s">
        <v>2629</v>
      </c>
      <c r="C141" s="35"/>
      <c r="D141" s="35"/>
      <c r="E141" s="35">
        <f>-SUM(E129:E140)</f>
        <v>-74534.27</v>
      </c>
      <c r="F141" s="334"/>
    </row>
    <row r="143" spans="1:6" x14ac:dyDescent="0.25">
      <c r="F143" s="93"/>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1EA0A-7B16-4258-8BE3-73B987A22A4B}">
  <dimension ref="A1:K138"/>
  <sheetViews>
    <sheetView topLeftCell="C7" workbookViewId="0">
      <selection activeCell="D34" sqref="D34"/>
    </sheetView>
  </sheetViews>
  <sheetFormatPr defaultRowHeight="15" x14ac:dyDescent="0.25"/>
  <cols>
    <col min="1" max="1" width="3.28515625" style="36" customWidth="1"/>
    <col min="2" max="6" width="40.7109375" style="36" customWidth="1"/>
    <col min="7" max="7" width="3.28515625" style="36" customWidth="1"/>
    <col min="8" max="10" width="9.140625" style="36"/>
    <col min="11" max="11" width="11.5703125" style="36" bestFit="1" customWidth="1"/>
    <col min="12" max="16384" width="9.140625" style="36"/>
  </cols>
  <sheetData>
    <row r="1" spans="1:7" ht="15.75" thickBot="1" x14ac:dyDescent="0.3">
      <c r="A1" s="371" t="b">
        <f>IF(($E$129+$E$130)=(SUM('FY2020 February Transactions'!E:E)),TRUE,FALSE)</f>
        <v>1</v>
      </c>
      <c r="B1" s="372"/>
      <c r="C1" s="372"/>
      <c r="D1" s="372"/>
      <c r="E1" s="372"/>
      <c r="F1" s="372"/>
      <c r="G1" s="373"/>
    </row>
    <row r="2" spans="1:7" ht="26.25" customHeight="1" x14ac:dyDescent="0.25">
      <c r="A2" s="374" t="b">
        <f>IF(($E$129+$E$130)=(SUM('FY2020 February Transactions'!E:E)),TRUE,FALSE)</f>
        <v>1</v>
      </c>
      <c r="B2" s="350" t="s">
        <v>2459</v>
      </c>
      <c r="C2" s="351"/>
      <c r="D2" s="351"/>
      <c r="E2" s="351"/>
      <c r="F2" s="352"/>
      <c r="G2" s="374" t="b">
        <f>IF(($E$129+$E$130)=(SUM('FY2020 February Transactions'!E:E)),TRUE,FALSE)</f>
        <v>1</v>
      </c>
    </row>
    <row r="3" spans="1:7" ht="26.25" customHeight="1" x14ac:dyDescent="0.25">
      <c r="A3" s="374"/>
      <c r="B3" s="353"/>
      <c r="C3" s="354"/>
      <c r="D3" s="354"/>
      <c r="E3" s="354"/>
      <c r="F3" s="355"/>
      <c r="G3" s="374"/>
    </row>
    <row r="4" spans="1:7" ht="15.75" x14ac:dyDescent="0.25">
      <c r="A4" s="374"/>
      <c r="B4" s="325" t="s">
        <v>53</v>
      </c>
      <c r="C4" s="326" t="s">
        <v>54</v>
      </c>
      <c r="D4" s="326" t="s">
        <v>2111</v>
      </c>
      <c r="E4" s="326" t="s">
        <v>168</v>
      </c>
      <c r="F4" s="327" t="s">
        <v>2112</v>
      </c>
      <c r="G4" s="374"/>
    </row>
    <row r="5" spans="1:7" ht="15.75" x14ac:dyDescent="0.25">
      <c r="A5" s="374"/>
      <c r="B5" s="11"/>
      <c r="C5" s="1"/>
      <c r="D5" s="1"/>
      <c r="E5" s="1"/>
      <c r="F5" s="12"/>
      <c r="G5" s="374"/>
    </row>
    <row r="6" spans="1:7" ht="15.75" x14ac:dyDescent="0.25">
      <c r="A6" s="374"/>
      <c r="B6" s="344" t="s">
        <v>1979</v>
      </c>
      <c r="C6" s="345"/>
      <c r="D6" s="345"/>
      <c r="E6" s="345"/>
      <c r="F6" s="346"/>
      <c r="G6" s="374"/>
    </row>
    <row r="7" spans="1:7" ht="15.75" x14ac:dyDescent="0.25">
      <c r="A7" s="374"/>
      <c r="B7" s="11"/>
      <c r="C7" s="1"/>
      <c r="D7" s="1"/>
      <c r="E7" s="1"/>
      <c r="F7" s="12"/>
      <c r="G7" s="374"/>
    </row>
    <row r="8" spans="1:7" x14ac:dyDescent="0.25">
      <c r="A8" s="374"/>
      <c r="B8" s="80" t="s">
        <v>132</v>
      </c>
      <c r="C8" s="81"/>
      <c r="D8" s="81"/>
      <c r="E8" s="81"/>
      <c r="F8" s="82"/>
      <c r="G8" s="374"/>
    </row>
    <row r="9" spans="1:7" ht="15.75" x14ac:dyDescent="0.25">
      <c r="A9" s="374"/>
      <c r="B9" s="11"/>
      <c r="C9" s="1"/>
      <c r="D9" s="1"/>
      <c r="E9" s="1"/>
      <c r="F9" s="12"/>
      <c r="G9" s="374"/>
    </row>
    <row r="10" spans="1:7" x14ac:dyDescent="0.25">
      <c r="A10" s="374"/>
      <c r="B10" s="13" t="s">
        <v>133</v>
      </c>
      <c r="C10" s="2"/>
      <c r="D10" s="2"/>
      <c r="E10" s="2"/>
      <c r="F10" s="14"/>
      <c r="G10" s="374"/>
    </row>
    <row r="11" spans="1:7" ht="15.75" x14ac:dyDescent="0.25">
      <c r="A11" s="374"/>
      <c r="B11" s="11"/>
      <c r="C11" s="3" t="s">
        <v>134</v>
      </c>
      <c r="D11" s="4">
        <f>'FY2020 January Account'!F11</f>
        <v>239569.33</v>
      </c>
      <c r="E11" s="4">
        <f>E131</f>
        <v>61983.810000000012</v>
      </c>
      <c r="F11" s="15">
        <f>(D11+E11)</f>
        <v>301553.14</v>
      </c>
      <c r="G11" s="374"/>
    </row>
    <row r="12" spans="1:7" x14ac:dyDescent="0.25">
      <c r="A12" s="374"/>
      <c r="B12" s="16" t="s">
        <v>136</v>
      </c>
      <c r="C12" s="2"/>
      <c r="D12" s="5">
        <f>'FY2020 January Account'!F12</f>
        <v>239569.33</v>
      </c>
      <c r="E12" s="5">
        <f>SUM(E11:E11)</f>
        <v>61983.810000000012</v>
      </c>
      <c r="F12" s="17">
        <f>(D12+E12)</f>
        <v>301553.14</v>
      </c>
      <c r="G12" s="374"/>
    </row>
    <row r="13" spans="1:7" ht="15.75" x14ac:dyDescent="0.25">
      <c r="A13" s="374"/>
      <c r="B13" s="11"/>
      <c r="C13" s="1"/>
      <c r="D13" s="1"/>
      <c r="E13" s="1"/>
      <c r="F13" s="12"/>
      <c r="G13" s="374"/>
    </row>
    <row r="14" spans="1:7" x14ac:dyDescent="0.25">
      <c r="A14" s="374"/>
      <c r="B14" s="13" t="s">
        <v>139</v>
      </c>
      <c r="C14" s="2"/>
      <c r="D14" s="2"/>
      <c r="E14" s="2"/>
      <c r="F14" s="14"/>
      <c r="G14" s="374"/>
    </row>
    <row r="15" spans="1:7" ht="15.75" x14ac:dyDescent="0.25">
      <c r="A15" s="374"/>
      <c r="B15" s="11"/>
      <c r="C15" s="3" t="s">
        <v>135</v>
      </c>
      <c r="D15" s="4">
        <f>'FY2020 January Account'!F15</f>
        <v>452.02</v>
      </c>
      <c r="E15" s="4">
        <f>E75</f>
        <v>0</v>
      </c>
      <c r="F15" s="15">
        <f>(D15+E15)</f>
        <v>452.02</v>
      </c>
      <c r="G15" s="374"/>
    </row>
    <row r="16" spans="1:7" ht="15.75" x14ac:dyDescent="0.25">
      <c r="A16" s="374"/>
      <c r="B16" s="11"/>
      <c r="C16" s="3" t="s">
        <v>140</v>
      </c>
      <c r="D16" s="4">
        <f>'FY2020 January Account'!F16</f>
        <v>0</v>
      </c>
      <c r="E16" s="4">
        <v>0</v>
      </c>
      <c r="F16" s="15">
        <f>(D16+E16)</f>
        <v>0</v>
      </c>
      <c r="G16" s="374"/>
    </row>
    <row r="17" spans="1:7" x14ac:dyDescent="0.25">
      <c r="A17" s="374"/>
      <c r="B17" s="16" t="s">
        <v>137</v>
      </c>
      <c r="C17" s="2"/>
      <c r="D17" s="5">
        <f>'FY2020 January Account'!F17</f>
        <v>452.02</v>
      </c>
      <c r="E17" s="5">
        <f>SUM(E15:E16)</f>
        <v>0</v>
      </c>
      <c r="F17" s="17">
        <f>(D17+E17)</f>
        <v>452.02</v>
      </c>
      <c r="G17" s="374"/>
    </row>
    <row r="18" spans="1:7" ht="15.75" x14ac:dyDescent="0.25">
      <c r="A18" s="374"/>
      <c r="B18" s="11"/>
      <c r="C18" s="1"/>
      <c r="D18" s="1"/>
      <c r="E18" s="1"/>
      <c r="F18" s="12"/>
      <c r="G18" s="374"/>
    </row>
    <row r="19" spans="1:7" x14ac:dyDescent="0.25">
      <c r="A19" s="374"/>
      <c r="B19" s="83" t="s">
        <v>138</v>
      </c>
      <c r="C19" s="84"/>
      <c r="D19" s="85">
        <f>'FY2020 January Account'!F19</f>
        <v>240021.34999999998</v>
      </c>
      <c r="E19" s="85">
        <f>SUM(E12,E17)</f>
        <v>61983.810000000012</v>
      </c>
      <c r="F19" s="86">
        <f>(D19+E19)</f>
        <v>302005.15999999997</v>
      </c>
      <c r="G19" s="374"/>
    </row>
    <row r="20" spans="1:7" ht="15.75" x14ac:dyDescent="0.25">
      <c r="A20" s="374"/>
      <c r="B20" s="11"/>
      <c r="C20" s="1"/>
      <c r="D20" s="1"/>
      <c r="E20" s="1"/>
      <c r="F20" s="12"/>
      <c r="G20" s="374"/>
    </row>
    <row r="21" spans="1:7" x14ac:dyDescent="0.25">
      <c r="A21" s="374"/>
      <c r="B21" s="73" t="s">
        <v>55</v>
      </c>
      <c r="C21" s="74"/>
      <c r="D21" s="74"/>
      <c r="E21" s="74"/>
      <c r="F21" s="75"/>
      <c r="G21" s="374"/>
    </row>
    <row r="22" spans="1:7" ht="15.75" x14ac:dyDescent="0.25">
      <c r="A22" s="374"/>
      <c r="B22" s="11"/>
      <c r="C22" s="1"/>
      <c r="D22" s="1"/>
      <c r="E22" s="1"/>
      <c r="F22" s="12"/>
      <c r="G22" s="374"/>
    </row>
    <row r="23" spans="1:7" x14ac:dyDescent="0.25">
      <c r="A23" s="374"/>
      <c r="B23" s="13" t="s">
        <v>56</v>
      </c>
      <c r="C23" s="2"/>
      <c r="D23" s="2"/>
      <c r="E23" s="2"/>
      <c r="F23" s="14"/>
      <c r="G23" s="374"/>
    </row>
    <row r="24" spans="1:7" ht="15.75" x14ac:dyDescent="0.25">
      <c r="A24" s="374"/>
      <c r="B24" s="11"/>
      <c r="C24" s="3" t="s">
        <v>57</v>
      </c>
      <c r="D24" s="4">
        <f>'FY2020 January Account'!F24</f>
        <v>124998.51000000001</v>
      </c>
      <c r="E24" s="4">
        <f>SUMIFS(TraFY2020Feb[[ Amount]],TraFY2020Feb[[ Acct Desc]], "Transfer In*") + SUMIFS(TraFY2020Feb[[ Amount]],TraFY2020Feb[[ Acct Desc]], "ASG FEE*")</f>
        <v>79936.790000000008</v>
      </c>
      <c r="F24" s="15">
        <f>(D24+E24)</f>
        <v>204935.30000000002</v>
      </c>
      <c r="G24" s="374"/>
    </row>
    <row r="25" spans="1:7" ht="15.75" x14ac:dyDescent="0.25">
      <c r="A25" s="374"/>
      <c r="B25" s="11"/>
      <c r="C25" s="3" t="s">
        <v>129</v>
      </c>
      <c r="D25" s="4">
        <f>'FY2020 January Account'!F25</f>
        <v>2423.67</v>
      </c>
      <c r="E25" s="4">
        <f>SUMIFS(TraFY2020Feb[[ Amount]],TraFY2020Feb[[ Acct Desc]], "*Income*")</f>
        <v>425.72</v>
      </c>
      <c r="F25" s="15">
        <f>(D25+E25)</f>
        <v>2849.3900000000003</v>
      </c>
      <c r="G25" s="374"/>
    </row>
    <row r="26" spans="1:7" ht="15.75" x14ac:dyDescent="0.25">
      <c r="A26" s="374"/>
      <c r="B26" s="11"/>
      <c r="C26" s="3" t="s">
        <v>2019</v>
      </c>
      <c r="D26" s="4">
        <f>'FY2020 January Account'!F26</f>
        <v>0</v>
      </c>
      <c r="E26" s="4">
        <v>0</v>
      </c>
      <c r="F26" s="15">
        <f>(D26+E26)</f>
        <v>0</v>
      </c>
      <c r="G26" s="374"/>
    </row>
    <row r="27" spans="1:7" x14ac:dyDescent="0.25">
      <c r="A27" s="374"/>
      <c r="B27" s="16" t="s">
        <v>58</v>
      </c>
      <c r="C27" s="2"/>
      <c r="D27" s="5">
        <f>'FY2020 January Account'!F27</f>
        <v>127422.18</v>
      </c>
      <c r="E27" s="5">
        <f>SUM(E24:E26)</f>
        <v>80362.510000000009</v>
      </c>
      <c r="F27" s="17">
        <f>(D27+E27)</f>
        <v>207784.69</v>
      </c>
      <c r="G27" s="374"/>
    </row>
    <row r="28" spans="1:7" ht="15.75" x14ac:dyDescent="0.25">
      <c r="A28" s="374"/>
      <c r="B28" s="11"/>
      <c r="C28" s="1"/>
      <c r="D28" s="1"/>
      <c r="E28" s="1"/>
      <c r="F28" s="12"/>
      <c r="G28" s="374"/>
    </row>
    <row r="29" spans="1:7" x14ac:dyDescent="0.25">
      <c r="A29" s="374"/>
      <c r="B29" s="13" t="s">
        <v>59</v>
      </c>
      <c r="C29" s="2"/>
      <c r="D29" s="2"/>
      <c r="E29" s="2"/>
      <c r="F29" s="14"/>
      <c r="G29" s="374"/>
    </row>
    <row r="30" spans="1:7" ht="15.75" x14ac:dyDescent="0.25">
      <c r="A30" s="374"/>
      <c r="B30" s="11"/>
      <c r="C30" s="3" t="s">
        <v>60</v>
      </c>
      <c r="D30" s="4">
        <f>'FY2020 January Account'!F30</f>
        <v>0</v>
      </c>
      <c r="E30" s="4">
        <v>0</v>
      </c>
      <c r="F30" s="15">
        <f>(D30+E30)</f>
        <v>0</v>
      </c>
      <c r="G30" s="374"/>
    </row>
    <row r="31" spans="1:7" ht="15.75" x14ac:dyDescent="0.25">
      <c r="A31" s="374"/>
      <c r="B31" s="11"/>
      <c r="C31" s="3" t="s">
        <v>2018</v>
      </c>
      <c r="D31" s="4">
        <f>'FY2020 January Account'!F31</f>
        <v>421</v>
      </c>
      <c r="E31" s="4"/>
      <c r="F31" s="15">
        <f>(D31+E31)</f>
        <v>421</v>
      </c>
      <c r="G31" s="374"/>
    </row>
    <row r="32" spans="1:7" x14ac:dyDescent="0.25">
      <c r="A32" s="374"/>
      <c r="B32" s="16" t="s">
        <v>61</v>
      </c>
      <c r="C32" s="2"/>
      <c r="D32" s="5">
        <f>'FY2020 January Account'!F32</f>
        <v>421</v>
      </c>
      <c r="E32" s="5">
        <f>SUM(E30:E31)</f>
        <v>0</v>
      </c>
      <c r="F32" s="17">
        <f>(D32+E32)</f>
        <v>421</v>
      </c>
      <c r="G32" s="374"/>
    </row>
    <row r="33" spans="1:7" ht="15.75" x14ac:dyDescent="0.25">
      <c r="A33" s="374"/>
      <c r="B33" s="11"/>
      <c r="C33" s="1"/>
      <c r="D33" s="1"/>
      <c r="E33" s="1"/>
      <c r="F33" s="12"/>
      <c r="G33" s="374"/>
    </row>
    <row r="34" spans="1:7" x14ac:dyDescent="0.25">
      <c r="A34" s="374"/>
      <c r="B34" s="76" t="s">
        <v>62</v>
      </c>
      <c r="C34" s="77"/>
      <c r="D34" s="78">
        <f>'FY2020 January Account'!F34</f>
        <v>127843.18</v>
      </c>
      <c r="E34" s="78">
        <f>SUM(E27,E32)</f>
        <v>80362.510000000009</v>
      </c>
      <c r="F34" s="79">
        <f>(D34+E34)</f>
        <v>208205.69</v>
      </c>
      <c r="G34" s="374"/>
    </row>
    <row r="35" spans="1:7" ht="15.75" x14ac:dyDescent="0.25">
      <c r="A35" s="374"/>
      <c r="B35" s="11"/>
      <c r="C35" s="1"/>
      <c r="D35" s="1"/>
      <c r="E35" s="1"/>
      <c r="F35" s="12"/>
      <c r="G35" s="374"/>
    </row>
    <row r="36" spans="1:7" ht="15.75" x14ac:dyDescent="0.25">
      <c r="A36" s="374"/>
      <c r="B36" s="344" t="s">
        <v>169</v>
      </c>
      <c r="C36" s="345"/>
      <c r="D36" s="345"/>
      <c r="E36" s="345"/>
      <c r="F36" s="346"/>
      <c r="G36" s="374"/>
    </row>
    <row r="37" spans="1:7" ht="15.75" x14ac:dyDescent="0.25">
      <c r="A37" s="374"/>
      <c r="B37" s="11"/>
      <c r="C37" s="1"/>
      <c r="D37" s="1"/>
      <c r="E37" s="1"/>
      <c r="F37" s="12"/>
      <c r="G37" s="374"/>
    </row>
    <row r="38" spans="1:7" x14ac:dyDescent="0.25">
      <c r="A38" s="374"/>
      <c r="B38" s="66" t="s">
        <v>63</v>
      </c>
      <c r="C38" s="67"/>
      <c r="D38" s="67"/>
      <c r="E38" s="67"/>
      <c r="F38" s="68"/>
      <c r="G38" s="374"/>
    </row>
    <row r="39" spans="1:7" x14ac:dyDescent="0.25">
      <c r="A39" s="374"/>
      <c r="B39" s="18"/>
      <c r="C39" s="3"/>
      <c r="D39" s="3"/>
      <c r="E39" s="3"/>
      <c r="F39" s="19"/>
      <c r="G39" s="374"/>
    </row>
    <row r="40" spans="1:7" x14ac:dyDescent="0.25">
      <c r="A40" s="374"/>
      <c r="B40" s="13" t="s">
        <v>64</v>
      </c>
      <c r="C40" s="2"/>
      <c r="D40" s="2"/>
      <c r="E40" s="2"/>
      <c r="F40" s="14"/>
      <c r="G40" s="374"/>
    </row>
    <row r="41" spans="1:7" x14ac:dyDescent="0.25">
      <c r="A41" s="374"/>
      <c r="B41" s="20"/>
      <c r="C41" s="3" t="s">
        <v>65</v>
      </c>
      <c r="D41" s="4">
        <f>'FY2020 January Account'!F41</f>
        <v>2600</v>
      </c>
      <c r="E41" s="4">
        <f>SUMIFS(TraFY2020Feb[[ Amount]],TraFY2020Feb[[ Description]], "*ADAM SCHMIDT*", TraFY2020Feb[[ Acct Desc]], "Participant Stipends")</f>
        <v>650</v>
      </c>
      <c r="F41" s="15">
        <f>(D41-E41)</f>
        <v>1950</v>
      </c>
      <c r="G41" s="374"/>
    </row>
    <row r="42" spans="1:7" x14ac:dyDescent="0.25">
      <c r="A42" s="374"/>
      <c r="B42" s="20"/>
      <c r="C42" s="3" t="s">
        <v>66</v>
      </c>
      <c r="D42" s="4">
        <f>'FY2020 January Account'!F42</f>
        <v>1600</v>
      </c>
      <c r="E42" s="4">
        <f>SUMIFS(TraFY2020Feb[[ Amount]],TraFY2020Feb[[ Description]], "*RAEKWON L. DAVIS*", TraFY2020Feb[[ Acct Desc]], "Participant Stipends")</f>
        <v>400</v>
      </c>
      <c r="F42" s="15">
        <f t="shared" ref="F42:F49" si="0">(D42-E42)</f>
        <v>1200</v>
      </c>
      <c r="G42" s="374"/>
    </row>
    <row r="43" spans="1:7" x14ac:dyDescent="0.25">
      <c r="A43" s="374"/>
      <c r="B43" s="20"/>
      <c r="C43" s="3" t="s">
        <v>67</v>
      </c>
      <c r="D43" s="4">
        <f>'FY2020 January Account'!F43</f>
        <v>900</v>
      </c>
      <c r="E43" s="4">
        <f>SUMIFS(TraFY2020Feb[[ Amount]],TraFY2020Feb[[ Description]], "*RYAN DUNN*", TraFY2020Feb[[ Acct Desc]], "Participant Stipends")</f>
        <v>225</v>
      </c>
      <c r="F43" s="15">
        <f t="shared" si="0"/>
        <v>675</v>
      </c>
      <c r="G43" s="374"/>
    </row>
    <row r="44" spans="1:7" x14ac:dyDescent="0.25">
      <c r="A44" s="374"/>
      <c r="B44" s="20"/>
      <c r="C44" s="3" t="s">
        <v>68</v>
      </c>
      <c r="D44" s="4">
        <f>'FY2020 January Account'!F44</f>
        <v>800</v>
      </c>
      <c r="E44" s="4">
        <f>SUMIFS(TraFY2020Feb[[ Amount]],TraFY2020Feb[[ Description]], "*NATHANIEL BLAKE JACOBS*", TraFY2020Feb[[ Acct Desc]], "Participant Stipends")</f>
        <v>200</v>
      </c>
      <c r="F44" s="15">
        <f t="shared" si="0"/>
        <v>600</v>
      </c>
      <c r="G44" s="374"/>
    </row>
    <row r="45" spans="1:7" x14ac:dyDescent="0.25">
      <c r="A45" s="374"/>
      <c r="B45" s="20"/>
      <c r="C45" s="3" t="s">
        <v>69</v>
      </c>
      <c r="D45" s="4">
        <f>'FY2020 January Account'!F45</f>
        <v>800</v>
      </c>
      <c r="E45" s="4">
        <f>SUMIFS(TraFY2020Feb[[ Amount]],TraFY2020Feb[[ Description]], "*MEARS*", TraFY2020Feb[[ Acct Desc]], "Participant Stipends")</f>
        <v>200</v>
      </c>
      <c r="F45" s="15">
        <f t="shared" si="0"/>
        <v>600</v>
      </c>
      <c r="G45" s="374"/>
    </row>
    <row r="46" spans="1:7" x14ac:dyDescent="0.25">
      <c r="A46" s="374"/>
      <c r="B46" s="20"/>
      <c r="C46" s="3" t="s">
        <v>70</v>
      </c>
      <c r="D46" s="4">
        <f>'FY2020 January Account'!F46</f>
        <v>800</v>
      </c>
      <c r="E46" s="4">
        <f>SUMIFS(TraFY2020Feb[[ Amount]],TraFY2020Feb[[ Description]], "*OLIVIA TARPLEY*", TraFY2020Feb[[ Acct Desc]], "Participant Stipends")</f>
        <v>200</v>
      </c>
      <c r="F46" s="15">
        <f t="shared" si="0"/>
        <v>600</v>
      </c>
      <c r="G46" s="374"/>
    </row>
    <row r="47" spans="1:7" x14ac:dyDescent="0.25">
      <c r="A47" s="374"/>
      <c r="B47" s="20"/>
      <c r="C47" s="3" t="s">
        <v>71</v>
      </c>
      <c r="D47" s="4">
        <f>'FY2020 January Account'!F47</f>
        <v>800</v>
      </c>
      <c r="E47" s="4">
        <f>SUMIFS(TraFY2020Feb[[ Amount]],TraFY2020Feb[[ Description]], "*JACOB NEWTON*", TraFY2020Feb[[ Acct Desc]], "Participant Stipends")</f>
        <v>200</v>
      </c>
      <c r="F47" s="15">
        <f t="shared" si="0"/>
        <v>600</v>
      </c>
      <c r="G47" s="374"/>
    </row>
    <row r="48" spans="1:7" x14ac:dyDescent="0.25">
      <c r="A48" s="374"/>
      <c r="B48" s="20"/>
      <c r="C48" s="3" t="s">
        <v>72</v>
      </c>
      <c r="D48" s="4">
        <f>'FY2020 January Account'!F48</f>
        <v>800</v>
      </c>
      <c r="E48" s="4">
        <f>SUMIFS(TraFY2020Feb[[ Amount]],TraFY2020Feb[[ Description]], "*AVERY WALTER*", TraFY2020Feb[[ Acct Desc]], "Participant Stipends")</f>
        <v>200</v>
      </c>
      <c r="F48" s="15">
        <f t="shared" si="0"/>
        <v>600</v>
      </c>
      <c r="G48" s="374"/>
    </row>
    <row r="49" spans="1:7" x14ac:dyDescent="0.25">
      <c r="A49" s="374"/>
      <c r="B49" s="20"/>
      <c r="C49" s="3" t="s">
        <v>73</v>
      </c>
      <c r="D49" s="4">
        <f>'FY2020 January Account'!F49</f>
        <v>800</v>
      </c>
      <c r="E49" s="4">
        <f>SUMIFS(TraFY2020Feb[[ Amount]],TraFY2020Feb[[ Description]], "*SKYE GREGG*", TraFY2020Feb[[ Acct Desc]], "Participant Stipends")</f>
        <v>200</v>
      </c>
      <c r="F49" s="15">
        <f t="shared" si="0"/>
        <v>600</v>
      </c>
      <c r="G49" s="374"/>
    </row>
    <row r="50" spans="1:7" x14ac:dyDescent="0.25">
      <c r="A50" s="374"/>
      <c r="B50" s="16" t="s">
        <v>74</v>
      </c>
      <c r="C50" s="2"/>
      <c r="D50" s="5">
        <f>'FY2020 January Account'!F50</f>
        <v>9900</v>
      </c>
      <c r="E50" s="6">
        <f>SUM(E41:E49)</f>
        <v>2475</v>
      </c>
      <c r="F50" s="21">
        <f>(D50-E50)</f>
        <v>7425</v>
      </c>
      <c r="G50" s="374"/>
    </row>
    <row r="51" spans="1:7" x14ac:dyDescent="0.25">
      <c r="A51" s="374"/>
      <c r="B51" s="20"/>
      <c r="C51" s="3"/>
      <c r="D51" s="3"/>
      <c r="E51" s="3"/>
      <c r="F51" s="19"/>
      <c r="G51" s="374"/>
    </row>
    <row r="52" spans="1:7" x14ac:dyDescent="0.25">
      <c r="A52" s="374"/>
      <c r="B52" s="13" t="s">
        <v>75</v>
      </c>
      <c r="C52" s="2"/>
      <c r="D52" s="2"/>
      <c r="E52" s="2"/>
      <c r="F52" s="14"/>
      <c r="G52" s="374"/>
    </row>
    <row r="53" spans="1:7" x14ac:dyDescent="0.25">
      <c r="A53" s="374"/>
      <c r="B53" s="20"/>
      <c r="C53" s="3" t="s">
        <v>76</v>
      </c>
      <c r="D53" s="4">
        <f>'FY2020 January Account'!F53</f>
        <v>22083.520000000004</v>
      </c>
      <c r="E53" s="4">
        <f>SUMIFS(TraFY2020Feb[[ Amount]],TraFY2020Feb[[ Acct Desc]], "EHRA*")</f>
        <v>4416.6400000000003</v>
      </c>
      <c r="F53" s="15">
        <f>(D53-E53)</f>
        <v>17666.880000000005</v>
      </c>
      <c r="G53" s="374"/>
    </row>
    <row r="54" spans="1:7" x14ac:dyDescent="0.25">
      <c r="A54" s="374"/>
      <c r="B54" s="20"/>
      <c r="C54" s="3" t="s">
        <v>77</v>
      </c>
      <c r="D54" s="4">
        <f>'FY2020 January Account'!F54</f>
        <v>4695.7999999999975</v>
      </c>
      <c r="E54" s="4">
        <f>SUMIFS(TraFY2020Feb[[ Amount]],TraFY2020Feb[[ Acct Desc]], "ORP-TIAA Ret*")</f>
        <v>302.10000000000002</v>
      </c>
      <c r="F54" s="15">
        <f t="shared" ref="F54:F57" si="1">(D54-E54)</f>
        <v>4393.6999999999971</v>
      </c>
      <c r="G54" s="374"/>
    </row>
    <row r="55" spans="1:7" x14ac:dyDescent="0.25">
      <c r="A55" s="374"/>
      <c r="B55" s="20"/>
      <c r="C55" s="3" t="s">
        <v>78</v>
      </c>
      <c r="D55" s="4">
        <f>'FY2020 January Account'!F55</f>
        <v>1076.5799999999995</v>
      </c>
      <c r="E55" s="4">
        <f>SUMIFS(TraFY2020Feb[[ Amount]],TraFY2020Feb[[ Acct Desc]], "ORP-TIAA Hea*") + SUMIFS(TraFY2020Feb[[ Amount]],TraFY2020Feb[[ Acct Desc]], "Medical*")</f>
        <v>647.66000000000008</v>
      </c>
      <c r="F55" s="15">
        <f t="shared" si="1"/>
        <v>428.91999999999939</v>
      </c>
      <c r="G55" s="374"/>
    </row>
    <row r="56" spans="1:7" x14ac:dyDescent="0.25">
      <c r="A56" s="374"/>
      <c r="B56" s="20"/>
      <c r="C56" s="3" t="s">
        <v>79</v>
      </c>
      <c r="D56" s="4">
        <f>'FY2020 January Account'!F56</f>
        <v>1400.6100000000006</v>
      </c>
      <c r="E56" s="4">
        <f>SUMIFS(TraFY2020Feb[[ Amount]],TraFY2020Feb[[ Acct Desc]], "Social Security-OASDI")</f>
        <v>269.29000000000002</v>
      </c>
      <c r="F56" s="15">
        <f t="shared" si="1"/>
        <v>1131.3200000000006</v>
      </c>
      <c r="G56" s="374"/>
    </row>
    <row r="57" spans="1:7" x14ac:dyDescent="0.25">
      <c r="A57" s="374"/>
      <c r="B57" s="20"/>
      <c r="C57" s="3" t="s">
        <v>80</v>
      </c>
      <c r="D57" s="4">
        <f>'FY2020 January Account'!F57</f>
        <v>327.53999999999996</v>
      </c>
      <c r="E57" s="4">
        <f>SUMIFS(TraFY2020Feb[[ Amount]],TraFY2020Feb[[ Acct Desc]], "*Hospital Ins*")</f>
        <v>62.98</v>
      </c>
      <c r="F57" s="15">
        <f t="shared" si="1"/>
        <v>264.55999999999995</v>
      </c>
      <c r="G57" s="374"/>
    </row>
    <row r="58" spans="1:7" x14ac:dyDescent="0.25">
      <c r="A58" s="374"/>
      <c r="B58" s="16" t="s">
        <v>81</v>
      </c>
      <c r="C58" s="2"/>
      <c r="D58" s="5">
        <f>'FY2020 January Account'!F58</f>
        <v>29584.049999999996</v>
      </c>
      <c r="E58" s="6">
        <f>SUM(E53:E57)</f>
        <v>5698.67</v>
      </c>
      <c r="F58" s="21">
        <f>(D58-E58)</f>
        <v>23885.379999999997</v>
      </c>
      <c r="G58" s="374"/>
    </row>
    <row r="59" spans="1:7" x14ac:dyDescent="0.25">
      <c r="A59" s="374"/>
      <c r="B59" s="20"/>
      <c r="C59" s="3"/>
      <c r="D59" s="3"/>
      <c r="E59" s="3"/>
      <c r="F59" s="19"/>
      <c r="G59" s="374"/>
    </row>
    <row r="60" spans="1:7" x14ac:dyDescent="0.25">
      <c r="A60" s="374"/>
      <c r="B60" s="13" t="s">
        <v>82</v>
      </c>
      <c r="C60" s="2"/>
      <c r="D60" s="2"/>
      <c r="E60" s="2"/>
      <c r="F60" s="14"/>
      <c r="G60" s="374"/>
    </row>
    <row r="61" spans="1:7" x14ac:dyDescent="0.25">
      <c r="A61" s="374"/>
      <c r="B61" s="20"/>
      <c r="C61" s="3" t="s">
        <v>83</v>
      </c>
      <c r="D61" s="4">
        <f>'FY2020 January Account'!F61</f>
        <v>8500</v>
      </c>
      <c r="E61" s="4">
        <f>SUMIFS(TraFY2020Feb[[ Amount]],TraFY2020Feb[[ Trans ID]], "*STIP_ASG*",TraFY2020Feb[[ Amount]], "125" )</f>
        <v>2125</v>
      </c>
      <c r="F61" s="15">
        <f t="shared" ref="F61" si="2">(D61-E61)</f>
        <v>6375</v>
      </c>
      <c r="G61" s="374"/>
    </row>
    <row r="62" spans="1:7" x14ac:dyDescent="0.25">
      <c r="A62" s="374"/>
      <c r="B62" s="16" t="s">
        <v>84</v>
      </c>
      <c r="C62" s="2"/>
      <c r="D62" s="5">
        <f>'FY2020 January Account'!F62</f>
        <v>8500</v>
      </c>
      <c r="E62" s="6">
        <f>SUM(E61:E61)</f>
        <v>2125</v>
      </c>
      <c r="F62" s="21">
        <f>(D62-E62)</f>
        <v>6375</v>
      </c>
      <c r="G62" s="374"/>
    </row>
    <row r="63" spans="1:7" x14ac:dyDescent="0.25">
      <c r="A63" s="374"/>
      <c r="B63" s="20"/>
      <c r="C63" s="3"/>
      <c r="D63" s="3"/>
      <c r="E63" s="3"/>
      <c r="F63" s="19"/>
      <c r="G63" s="374"/>
    </row>
    <row r="64" spans="1:7" x14ac:dyDescent="0.25">
      <c r="A64" s="374"/>
      <c r="B64" s="69" t="s">
        <v>85</v>
      </c>
      <c r="C64" s="70"/>
      <c r="D64" s="71">
        <f>'FY2020 January Account'!F64</f>
        <v>47984.05</v>
      </c>
      <c r="E64" s="71">
        <f>SUM(E50, E58, E62)</f>
        <v>10298.67</v>
      </c>
      <c r="F64" s="72">
        <f>(D64-E64)</f>
        <v>37685.380000000005</v>
      </c>
      <c r="G64" s="374"/>
    </row>
    <row r="65" spans="1:7" x14ac:dyDescent="0.25">
      <c r="A65" s="374"/>
      <c r="B65" s="20"/>
      <c r="C65" s="3"/>
      <c r="D65" s="3"/>
      <c r="E65" s="3"/>
      <c r="F65" s="19"/>
      <c r="G65" s="374"/>
    </row>
    <row r="66" spans="1:7" x14ac:dyDescent="0.25">
      <c r="A66" s="374"/>
      <c r="B66" s="58" t="s">
        <v>130</v>
      </c>
      <c r="C66" s="59"/>
      <c r="D66" s="59"/>
      <c r="E66" s="59"/>
      <c r="F66" s="60"/>
      <c r="G66" s="374"/>
    </row>
    <row r="67" spans="1:7" x14ac:dyDescent="0.25">
      <c r="A67" s="374"/>
      <c r="B67" s="18"/>
      <c r="C67" s="3"/>
      <c r="D67" s="3"/>
      <c r="E67" s="3"/>
      <c r="F67" s="19"/>
      <c r="G67" s="374"/>
    </row>
    <row r="68" spans="1:7" x14ac:dyDescent="0.25">
      <c r="A68" s="374"/>
      <c r="B68" s="13" t="s">
        <v>86</v>
      </c>
      <c r="C68" s="2"/>
      <c r="D68" s="2"/>
      <c r="E68" s="2"/>
      <c r="F68" s="14"/>
      <c r="G68" s="374"/>
    </row>
    <row r="69" spans="1:7" x14ac:dyDescent="0.25">
      <c r="A69" s="374"/>
      <c r="B69" s="20"/>
      <c r="C69" s="3" t="s">
        <v>87</v>
      </c>
      <c r="D69" s="4">
        <f>'FY2020 January Account'!F69</f>
        <v>174</v>
      </c>
      <c r="E69" s="4">
        <f>SUMIFS(TraFY2020Feb[[ Amount]],TraFY2020Feb[[ Acct Desc]], "Teleph*")</f>
        <v>0</v>
      </c>
      <c r="F69" s="15">
        <f t="shared" ref="F69:F70" si="3">(D69-E69)</f>
        <v>174</v>
      </c>
      <c r="G69" s="374"/>
    </row>
    <row r="70" spans="1:7" x14ac:dyDescent="0.25">
      <c r="A70" s="374"/>
      <c r="B70" s="20"/>
      <c r="C70" s="3" t="s">
        <v>88</v>
      </c>
      <c r="D70" s="4">
        <f>'FY2020 January Account'!F70</f>
        <v>597.47</v>
      </c>
      <c r="E70" s="4">
        <f>SUMIFS(TraFY2020Feb[[ Amount]],TraFY2020Feb[[ Acct Desc]], "*Supplies*") + SUMIFS(TraFY2020Feb[[ Amount]],TraFY2020Feb[[ Acct Desc]], "*Pcard*") + SUMIFS(TraFY2020Feb[[ Amount]],TraFY2020Feb[[ Acct Desc]], "*Printing*") - E75</f>
        <v>0</v>
      </c>
      <c r="F70" s="15">
        <f t="shared" si="3"/>
        <v>597.47</v>
      </c>
      <c r="G70" s="374"/>
    </row>
    <row r="71" spans="1:7" x14ac:dyDescent="0.25">
      <c r="A71" s="374"/>
      <c r="B71" s="16" t="s">
        <v>89</v>
      </c>
      <c r="C71" s="2"/>
      <c r="D71" s="5">
        <f>'FY2020 January Account'!F71</f>
        <v>771.47000000000025</v>
      </c>
      <c r="E71" s="6">
        <f>SUM(E69:E70)</f>
        <v>0</v>
      </c>
      <c r="F71" s="21">
        <f>(D71-E71)</f>
        <v>771.47000000000025</v>
      </c>
      <c r="G71" s="374"/>
    </row>
    <row r="72" spans="1:7" x14ac:dyDescent="0.25">
      <c r="A72" s="374"/>
      <c r="B72" s="20"/>
      <c r="C72" s="3"/>
      <c r="D72" s="3"/>
      <c r="E72" s="3"/>
      <c r="F72" s="19"/>
      <c r="G72" s="374"/>
    </row>
    <row r="73" spans="1:7" x14ac:dyDescent="0.25">
      <c r="A73" s="374"/>
      <c r="B73" s="13" t="s">
        <v>90</v>
      </c>
      <c r="C73" s="2"/>
      <c r="D73" s="2"/>
      <c r="E73" s="2"/>
      <c r="F73" s="14"/>
      <c r="G73" s="374"/>
    </row>
    <row r="74" spans="1:7" x14ac:dyDescent="0.25">
      <c r="A74" s="374"/>
      <c r="B74" s="20"/>
      <c r="C74" s="3" t="s">
        <v>91</v>
      </c>
      <c r="D74" s="4">
        <f>'FY2020 January Account'!F74</f>
        <v>132</v>
      </c>
      <c r="E74" s="4">
        <f>SUMIFS(TraFY2020Feb[[ Amount]],TraFY2020Feb[[ Acct Desc]], "Internet Service") + SUMIFS(TraFY2020Feb[[ Amount]],TraFY2020Feb[[ Acct Desc]], "Software Subscriptions")</f>
        <v>0</v>
      </c>
      <c r="F74" s="15">
        <f t="shared" ref="F74:F76" si="4">(D74-E74)</f>
        <v>132</v>
      </c>
      <c r="G74" s="374"/>
    </row>
    <row r="75" spans="1:7" x14ac:dyDescent="0.25">
      <c r="A75" s="374"/>
      <c r="B75" s="20"/>
      <c r="C75" s="3" t="s">
        <v>92</v>
      </c>
      <c r="D75" s="4">
        <f>'FY2020 January Account'!F75</f>
        <v>547.98</v>
      </c>
      <c r="E75" s="4">
        <f>SUMIFS(TraFY2020Feb[[ Amount]],TraFY2020Feb[[ Acct Desc]], "*Non Educ Misc")</f>
        <v>0</v>
      </c>
      <c r="F75" s="15">
        <f t="shared" si="4"/>
        <v>547.98</v>
      </c>
      <c r="G75" s="374"/>
    </row>
    <row r="76" spans="1:7" x14ac:dyDescent="0.25">
      <c r="A76" s="374"/>
      <c r="B76" s="20"/>
      <c r="C76" s="3" t="s">
        <v>93</v>
      </c>
      <c r="D76" s="4">
        <f>'FY2020 January Account'!F76</f>
        <v>500</v>
      </c>
      <c r="E76" s="4">
        <v>0</v>
      </c>
      <c r="F76" s="15">
        <f t="shared" si="4"/>
        <v>500</v>
      </c>
      <c r="G76" s="374"/>
    </row>
    <row r="77" spans="1:7" x14ac:dyDescent="0.25">
      <c r="A77" s="374"/>
      <c r="B77" s="16" t="s">
        <v>94</v>
      </c>
      <c r="C77" s="2"/>
      <c r="D77" s="5">
        <f>'FY2020 January Account'!F77</f>
        <v>1179.98</v>
      </c>
      <c r="E77" s="6">
        <f>SUM(E74:E76)</f>
        <v>0</v>
      </c>
      <c r="F77" s="21">
        <f>(D77-E77)</f>
        <v>1179.98</v>
      </c>
      <c r="G77" s="374"/>
    </row>
    <row r="78" spans="1:7" x14ac:dyDescent="0.25">
      <c r="A78" s="374"/>
      <c r="B78" s="20"/>
      <c r="C78" s="3"/>
      <c r="D78" s="3"/>
      <c r="E78" s="3"/>
      <c r="F78" s="19"/>
      <c r="G78" s="374"/>
    </row>
    <row r="79" spans="1:7" x14ac:dyDescent="0.25">
      <c r="A79" s="374"/>
      <c r="B79" s="61" t="s">
        <v>95</v>
      </c>
      <c r="C79" s="62"/>
      <c r="D79" s="63">
        <f>'FY2020 January Account'!F79</f>
        <v>1951.4500000000003</v>
      </c>
      <c r="E79" s="64">
        <f>SUM(E71, E77)</f>
        <v>0</v>
      </c>
      <c r="F79" s="65">
        <f>(D79-E79)</f>
        <v>1951.4500000000003</v>
      </c>
      <c r="G79" s="374"/>
    </row>
    <row r="80" spans="1:7" x14ac:dyDescent="0.25">
      <c r="A80" s="374"/>
      <c r="B80" s="20"/>
      <c r="C80" s="3"/>
      <c r="D80" s="3"/>
      <c r="E80" s="3"/>
      <c r="F80" s="19"/>
      <c r="G80" s="374"/>
    </row>
    <row r="81" spans="1:7" x14ac:dyDescent="0.25">
      <c r="A81" s="374"/>
      <c r="B81" s="51" t="s">
        <v>96</v>
      </c>
      <c r="C81" s="52"/>
      <c r="D81" s="52"/>
      <c r="E81" s="52"/>
      <c r="F81" s="53"/>
      <c r="G81" s="374"/>
    </row>
    <row r="82" spans="1:7" x14ac:dyDescent="0.25">
      <c r="A82" s="374"/>
      <c r="B82" s="18"/>
      <c r="C82" s="3"/>
      <c r="D82" s="3"/>
      <c r="E82" s="3"/>
      <c r="F82" s="19"/>
      <c r="G82" s="374"/>
    </row>
    <row r="83" spans="1:7" x14ac:dyDescent="0.25">
      <c r="A83" s="374"/>
      <c r="B83" s="13" t="s">
        <v>97</v>
      </c>
      <c r="C83" s="2"/>
      <c r="D83" s="2"/>
      <c r="E83" s="2"/>
      <c r="F83" s="14"/>
      <c r="G83" s="374"/>
    </row>
    <row r="84" spans="1:7" x14ac:dyDescent="0.25">
      <c r="A84" s="374"/>
      <c r="B84" s="20"/>
      <c r="C84" s="3" t="s">
        <v>98</v>
      </c>
      <c r="D84" s="4">
        <f>'FY2020 January Account'!F84</f>
        <v>20111.859999999997</v>
      </c>
      <c r="E84" s="4">
        <f>SUMIFS(TraFY2020Feb[[ Amount]],TraFY2020Feb[[ Acct Desc]], "*Lodging") - E100</f>
        <v>2568.06</v>
      </c>
      <c r="F84" s="15">
        <f>(D84-E84)</f>
        <v>17543.799999999996</v>
      </c>
      <c r="G84" s="374"/>
    </row>
    <row r="85" spans="1:7" x14ac:dyDescent="0.25">
      <c r="A85" s="374"/>
      <c r="B85" s="20"/>
      <c r="C85" s="3" t="s">
        <v>99</v>
      </c>
      <c r="D85" s="4">
        <f>'FY2020 January Account'!F85</f>
        <v>9072.32</v>
      </c>
      <c r="E85" s="4">
        <f>SUMIFS(TraFY2020Feb[[ Amount]],TraFY2020Feb[[ Acct Desc]], "*Ground") + SUMIFS(TraFY2020Feb[[ Amount]],TraFY2020Feb[[ Acct Desc]], "*Other")</f>
        <v>1666.5600000000004</v>
      </c>
      <c r="F85" s="15">
        <f>(D85-E85)</f>
        <v>7405.7599999999993</v>
      </c>
      <c r="G85" s="374"/>
    </row>
    <row r="86" spans="1:7" x14ac:dyDescent="0.25">
      <c r="A86" s="374"/>
      <c r="B86" s="20"/>
      <c r="C86" s="3" t="s">
        <v>100</v>
      </c>
      <c r="D86" s="4">
        <f>'FY2020 January Account'!F86</f>
        <v>6126.79</v>
      </c>
      <c r="E86" s="4">
        <f>SUMIFS(TraFY2020Feb[[ Amount]],TraFY2020Feb[[ Acct Desc]], "*Meetings*") +SUMIFS(TraFY2020Feb[[ Amount]], TraFY2020Feb[[ Acct Desc]], "*Meal*")</f>
        <v>1854</v>
      </c>
      <c r="F86" s="15">
        <f t="shared" ref="F86" si="5">(D86-E86)</f>
        <v>4272.79</v>
      </c>
      <c r="G86" s="374"/>
    </row>
    <row r="87" spans="1:7" x14ac:dyDescent="0.25">
      <c r="A87" s="374"/>
      <c r="B87" s="16" t="s">
        <v>101</v>
      </c>
      <c r="C87" s="2"/>
      <c r="D87" s="5">
        <f>'FY2020 January Account'!F87</f>
        <v>35310.97</v>
      </c>
      <c r="E87" s="6">
        <f>SUM(E84:E86)</f>
        <v>6088.6200000000008</v>
      </c>
      <c r="F87" s="21">
        <f>(D87-E87)</f>
        <v>29222.35</v>
      </c>
      <c r="G87" s="374"/>
    </row>
    <row r="88" spans="1:7" x14ac:dyDescent="0.25">
      <c r="A88" s="374"/>
      <c r="B88" s="20"/>
      <c r="C88" s="3"/>
      <c r="D88" s="3"/>
      <c r="E88" s="3"/>
      <c r="F88" s="19"/>
      <c r="G88" s="374"/>
    </row>
    <row r="89" spans="1:7" x14ac:dyDescent="0.25">
      <c r="A89" s="374"/>
      <c r="B89" s="13" t="s">
        <v>102</v>
      </c>
      <c r="C89" s="2"/>
      <c r="D89" s="2"/>
      <c r="E89" s="2"/>
      <c r="F89" s="14"/>
      <c r="G89" s="374"/>
    </row>
    <row r="90" spans="1:7" x14ac:dyDescent="0.25">
      <c r="A90" s="374"/>
      <c r="B90" s="20"/>
      <c r="C90" s="3" t="s">
        <v>103</v>
      </c>
      <c r="D90" s="4">
        <f>'FY2020 January Account'!F90</f>
        <v>3190.82</v>
      </c>
      <c r="E90" s="4">
        <v>0</v>
      </c>
      <c r="F90" s="15">
        <f t="shared" ref="F90:F92" si="6">(D90-E90)</f>
        <v>3190.82</v>
      </c>
      <c r="G90" s="374"/>
    </row>
    <row r="91" spans="1:7" x14ac:dyDescent="0.25">
      <c r="A91" s="374"/>
      <c r="B91" s="20"/>
      <c r="C91" s="3" t="s">
        <v>104</v>
      </c>
      <c r="D91" s="4">
        <f>'FY2020 January Account'!F91</f>
        <v>1000</v>
      </c>
      <c r="E91" s="4">
        <v>0</v>
      </c>
      <c r="F91" s="15">
        <f t="shared" si="6"/>
        <v>1000</v>
      </c>
      <c r="G91" s="374"/>
    </row>
    <row r="92" spans="1:7" x14ac:dyDescent="0.25">
      <c r="A92" s="374"/>
      <c r="B92" s="20"/>
      <c r="C92" s="3" t="s">
        <v>1993</v>
      </c>
      <c r="D92" s="4">
        <f>'FY2020 January Account'!F92</f>
        <v>3000</v>
      </c>
      <c r="E92" s="4">
        <v>0</v>
      </c>
      <c r="F92" s="15">
        <f t="shared" si="6"/>
        <v>3000</v>
      </c>
      <c r="G92" s="374"/>
    </row>
    <row r="93" spans="1:7" x14ac:dyDescent="0.25">
      <c r="A93" s="374"/>
      <c r="B93" s="16" t="s">
        <v>105</v>
      </c>
      <c r="C93" s="2"/>
      <c r="D93" s="5">
        <f>'FY2020 January Account'!F93</f>
        <v>7190.82</v>
      </c>
      <c r="E93" s="6">
        <f>SUM(E90:E92)</f>
        <v>0</v>
      </c>
      <c r="F93" s="21">
        <f>(D93-E93)</f>
        <v>7190.82</v>
      </c>
      <c r="G93" s="374"/>
    </row>
    <row r="94" spans="1:7" x14ac:dyDescent="0.25">
      <c r="A94" s="374"/>
      <c r="B94" s="20"/>
      <c r="C94" s="3"/>
      <c r="D94" s="3"/>
      <c r="E94" s="3"/>
      <c r="F94" s="19"/>
      <c r="G94" s="374"/>
    </row>
    <row r="95" spans="1:7" x14ac:dyDescent="0.25">
      <c r="A95" s="374"/>
      <c r="B95" s="54" t="s">
        <v>106</v>
      </c>
      <c r="C95" s="55"/>
      <c r="D95" s="56">
        <f>'FY2020 January Account'!F95</f>
        <v>42501.790000000008</v>
      </c>
      <c r="E95" s="56">
        <f>SUM(E87, E93)</f>
        <v>6088.6200000000008</v>
      </c>
      <c r="F95" s="57">
        <f>(D95-E95)</f>
        <v>36413.170000000006</v>
      </c>
      <c r="G95" s="374"/>
    </row>
    <row r="96" spans="1:7" x14ac:dyDescent="0.25">
      <c r="A96" s="374"/>
      <c r="B96" s="20"/>
      <c r="C96" s="3"/>
      <c r="D96" s="3"/>
      <c r="E96" s="3"/>
      <c r="F96" s="19"/>
      <c r="G96" s="374"/>
    </row>
    <row r="97" spans="1:7" x14ac:dyDescent="0.25">
      <c r="A97" s="374"/>
      <c r="B97" s="44" t="s">
        <v>107</v>
      </c>
      <c r="C97" s="45"/>
      <c r="D97" s="45"/>
      <c r="E97" s="45"/>
      <c r="F97" s="46"/>
      <c r="G97" s="374"/>
    </row>
    <row r="98" spans="1:7" x14ac:dyDescent="0.25">
      <c r="A98" s="374"/>
      <c r="B98" s="18"/>
      <c r="C98" s="3"/>
      <c r="D98" s="3"/>
      <c r="E98" s="3"/>
      <c r="F98" s="19"/>
      <c r="G98" s="374"/>
    </row>
    <row r="99" spans="1:7" x14ac:dyDescent="0.25">
      <c r="A99" s="374"/>
      <c r="B99" s="13" t="s">
        <v>108</v>
      </c>
      <c r="C99" s="2"/>
      <c r="D99" s="2"/>
      <c r="E99" s="2"/>
      <c r="F99" s="14"/>
      <c r="G99" s="374"/>
    </row>
    <row r="100" spans="1:7" x14ac:dyDescent="0.25">
      <c r="A100" s="374"/>
      <c r="B100" s="20"/>
      <c r="C100" s="3" t="s">
        <v>109</v>
      </c>
      <c r="D100" s="4">
        <f>'FY2020 January Account'!F100</f>
        <v>3250</v>
      </c>
      <c r="E100" s="4">
        <f>'FY2020 February Transactions'!E9</f>
        <v>825</v>
      </c>
      <c r="F100" s="15">
        <f t="shared" ref="F100" si="7">(D100-E100)</f>
        <v>2425</v>
      </c>
      <c r="G100" s="374"/>
    </row>
    <row r="101" spans="1:7" x14ac:dyDescent="0.25">
      <c r="A101" s="374"/>
      <c r="B101" s="16" t="s">
        <v>110</v>
      </c>
      <c r="C101" s="2"/>
      <c r="D101" s="5">
        <f>'FY2020 January Account'!F101</f>
        <v>3250</v>
      </c>
      <c r="E101" s="6">
        <f>SUM(E100:E100)</f>
        <v>825</v>
      </c>
      <c r="F101" s="21">
        <f>(D101-E101)</f>
        <v>2425</v>
      </c>
      <c r="G101" s="374"/>
    </row>
    <row r="102" spans="1:7" x14ac:dyDescent="0.25">
      <c r="A102" s="374"/>
      <c r="B102" s="20"/>
      <c r="C102" s="3"/>
      <c r="D102" s="3"/>
      <c r="E102" s="3"/>
      <c r="F102" s="19"/>
      <c r="G102" s="374"/>
    </row>
    <row r="103" spans="1:7" x14ac:dyDescent="0.25">
      <c r="A103" s="374"/>
      <c r="B103" s="13" t="s">
        <v>111</v>
      </c>
      <c r="C103" s="2"/>
      <c r="D103" s="2"/>
      <c r="E103" s="2"/>
      <c r="F103" s="14"/>
      <c r="G103" s="374"/>
    </row>
    <row r="104" spans="1:7" x14ac:dyDescent="0.25">
      <c r="A104" s="374"/>
      <c r="B104" s="20"/>
      <c r="C104" s="3" t="s">
        <v>112</v>
      </c>
      <c r="D104" s="4">
        <f>'FY2020 January Account'!F104</f>
        <v>15539.89</v>
      </c>
      <c r="E104" s="4">
        <f>SUMIFS(TraFY2020Feb[[ Amount]],TraFY2020Feb[[ Acct Desc]], "Other Inter*")</f>
        <v>1166.4100000000001</v>
      </c>
      <c r="F104" s="15">
        <f t="shared" ref="F104:F105" si="8">(D104-E104)</f>
        <v>14373.48</v>
      </c>
      <c r="G104" s="374"/>
    </row>
    <row r="105" spans="1:7" x14ac:dyDescent="0.25">
      <c r="A105" s="374"/>
      <c r="B105" s="20"/>
      <c r="C105" s="3" t="s">
        <v>1992</v>
      </c>
      <c r="D105" s="4">
        <f>'FY2020 January Account'!F105</f>
        <v>20000</v>
      </c>
      <c r="E105" s="4">
        <v>0</v>
      </c>
      <c r="F105" s="15">
        <f t="shared" si="8"/>
        <v>20000</v>
      </c>
      <c r="G105" s="374"/>
    </row>
    <row r="106" spans="1:7" x14ac:dyDescent="0.25">
      <c r="A106" s="374"/>
      <c r="B106" s="16" t="s">
        <v>113</v>
      </c>
      <c r="C106" s="2"/>
      <c r="D106" s="5">
        <f>'FY2020 January Account'!F106</f>
        <v>35539.89</v>
      </c>
      <c r="E106" s="6">
        <f>SUM(E104:E105)</f>
        <v>1166.4100000000001</v>
      </c>
      <c r="F106" s="21">
        <f>(D106-E106)</f>
        <v>34373.479999999996</v>
      </c>
      <c r="G106" s="374"/>
    </row>
    <row r="107" spans="1:7" x14ac:dyDescent="0.25">
      <c r="A107" s="374"/>
      <c r="B107" s="22"/>
      <c r="C107" s="3"/>
      <c r="D107" s="3"/>
      <c r="E107" s="3"/>
      <c r="F107" s="19"/>
      <c r="G107" s="374"/>
    </row>
    <row r="108" spans="1:7" x14ac:dyDescent="0.25">
      <c r="A108" s="374"/>
      <c r="B108" s="13" t="s">
        <v>114</v>
      </c>
      <c r="C108" s="2"/>
      <c r="D108" s="2"/>
      <c r="E108" s="2"/>
      <c r="F108" s="14"/>
      <c r="G108" s="374"/>
    </row>
    <row r="109" spans="1:7" x14ac:dyDescent="0.25">
      <c r="A109" s="374"/>
      <c r="B109" s="20"/>
      <c r="C109" s="3" t="s">
        <v>115</v>
      </c>
      <c r="D109" s="4">
        <f>'FY2020 January Account'!F109</f>
        <v>2000</v>
      </c>
      <c r="E109" s="4">
        <v>0</v>
      </c>
      <c r="F109" s="15">
        <f t="shared" ref="F109" si="9">(D109-E109)</f>
        <v>2000</v>
      </c>
      <c r="G109" s="374"/>
    </row>
    <row r="110" spans="1:7" x14ac:dyDescent="0.25">
      <c r="A110" s="374"/>
      <c r="B110" s="16" t="s">
        <v>116</v>
      </c>
      <c r="C110" s="2"/>
      <c r="D110" s="5">
        <f>'FY2020 January Account'!F110</f>
        <v>2000</v>
      </c>
      <c r="E110" s="6">
        <f>SUM(E109:E109)</f>
        <v>0</v>
      </c>
      <c r="F110" s="21">
        <f>(D110-E110)</f>
        <v>2000</v>
      </c>
      <c r="G110" s="374"/>
    </row>
    <row r="111" spans="1:7" x14ac:dyDescent="0.25">
      <c r="A111" s="374"/>
      <c r="B111" s="20"/>
      <c r="C111" s="3"/>
      <c r="D111" s="3"/>
      <c r="E111" s="3"/>
      <c r="F111" s="19"/>
      <c r="G111" s="374"/>
    </row>
    <row r="112" spans="1:7" x14ac:dyDescent="0.25">
      <c r="A112" s="374"/>
      <c r="B112" s="13" t="s">
        <v>117</v>
      </c>
      <c r="C112" s="2"/>
      <c r="D112" s="2"/>
      <c r="E112" s="2"/>
      <c r="F112" s="14"/>
      <c r="G112" s="374"/>
    </row>
    <row r="113" spans="1:11" x14ac:dyDescent="0.25">
      <c r="A113" s="374"/>
      <c r="B113" s="20"/>
      <c r="C113" s="3" t="s">
        <v>118</v>
      </c>
      <c r="D113" s="4">
        <f>'FY2020 January Account'!F113</f>
        <v>4500</v>
      </c>
      <c r="E113" s="4">
        <v>0</v>
      </c>
      <c r="F113" s="15">
        <f t="shared" ref="F113:F115" si="10">(D113-E113)</f>
        <v>4500</v>
      </c>
      <c r="G113" s="374"/>
    </row>
    <row r="114" spans="1:11" x14ac:dyDescent="0.25">
      <c r="A114" s="374"/>
      <c r="B114" s="20"/>
      <c r="C114" s="3" t="s">
        <v>119</v>
      </c>
      <c r="D114" s="4">
        <f>'FY2020 January Account'!F114</f>
        <v>3000</v>
      </c>
      <c r="E114" s="4">
        <v>0</v>
      </c>
      <c r="F114" s="15">
        <f t="shared" si="10"/>
        <v>3000</v>
      </c>
      <c r="G114" s="374"/>
    </row>
    <row r="115" spans="1:11" x14ac:dyDescent="0.25">
      <c r="A115" s="374"/>
      <c r="B115" s="20"/>
      <c r="C115" s="3" t="s">
        <v>120</v>
      </c>
      <c r="D115" s="4">
        <f>'FY2020 January Account'!F115</f>
        <v>4500</v>
      </c>
      <c r="E115" s="4">
        <v>0</v>
      </c>
      <c r="F115" s="15">
        <f t="shared" si="10"/>
        <v>4500</v>
      </c>
      <c r="G115" s="374"/>
    </row>
    <row r="116" spans="1:11" x14ac:dyDescent="0.25">
      <c r="A116" s="374"/>
      <c r="B116" s="16" t="s">
        <v>121</v>
      </c>
      <c r="C116" s="2"/>
      <c r="D116" s="5">
        <f>'FY2020 January Account'!F116</f>
        <v>12000</v>
      </c>
      <c r="E116" s="6">
        <f>SUM(E113:E115)</f>
        <v>0</v>
      </c>
      <c r="F116" s="21">
        <f>(D116-E116)</f>
        <v>12000</v>
      </c>
      <c r="G116" s="374"/>
    </row>
    <row r="117" spans="1:11" x14ac:dyDescent="0.25">
      <c r="A117" s="374"/>
      <c r="B117" s="20"/>
      <c r="C117" s="3"/>
      <c r="D117" s="3"/>
      <c r="E117" s="3"/>
      <c r="F117" s="19"/>
      <c r="G117" s="374"/>
    </row>
    <row r="118" spans="1:11" x14ac:dyDescent="0.25">
      <c r="A118" s="374"/>
      <c r="B118" s="47" t="s">
        <v>167</v>
      </c>
      <c r="C118" s="48"/>
      <c r="D118" s="49">
        <f>'FY2020 January Account'!F118</f>
        <v>52789.89</v>
      </c>
      <c r="E118" s="49">
        <f>SUM(E101, E106, E110, E116)</f>
        <v>1991.41</v>
      </c>
      <c r="F118" s="50">
        <f>(D118-E118)</f>
        <v>50798.479999999996</v>
      </c>
      <c r="G118" s="374"/>
    </row>
    <row r="119" spans="1:11" x14ac:dyDescent="0.25">
      <c r="A119" s="374"/>
      <c r="B119" s="20"/>
      <c r="C119" s="3"/>
      <c r="D119" s="3"/>
      <c r="E119" s="3"/>
      <c r="F119" s="19"/>
      <c r="G119" s="374"/>
    </row>
    <row r="120" spans="1:11" x14ac:dyDescent="0.25">
      <c r="A120" s="374"/>
      <c r="B120" s="38" t="s">
        <v>131</v>
      </c>
      <c r="C120" s="39"/>
      <c r="D120" s="39"/>
      <c r="E120" s="39"/>
      <c r="F120" s="40"/>
      <c r="G120" s="374"/>
    </row>
    <row r="121" spans="1:11" x14ac:dyDescent="0.25">
      <c r="A121" s="374"/>
      <c r="B121" s="18"/>
      <c r="C121" s="3"/>
      <c r="D121" s="3"/>
      <c r="E121" s="3"/>
      <c r="F121" s="19"/>
      <c r="G121" s="374"/>
    </row>
    <row r="122" spans="1:11" x14ac:dyDescent="0.25">
      <c r="A122" s="374"/>
      <c r="B122" s="13" t="s">
        <v>122</v>
      </c>
      <c r="C122" s="2"/>
      <c r="D122" s="2"/>
      <c r="E122" s="2"/>
      <c r="F122" s="14"/>
      <c r="G122" s="374"/>
    </row>
    <row r="123" spans="1:11" x14ac:dyDescent="0.25">
      <c r="A123" s="374"/>
      <c r="B123" s="20"/>
      <c r="C123" s="3" t="s">
        <v>123</v>
      </c>
      <c r="D123" s="4">
        <f>'FY2020 January Account'!F123</f>
        <v>18678.830000000002</v>
      </c>
      <c r="E123" s="4">
        <f>SUMIFS(TraFY2020Feb[[ Amount]],TraFY2020Feb[[ Acct Desc]], "Fiscal Agent*")</f>
        <v>0</v>
      </c>
      <c r="F123" s="15">
        <f t="shared" ref="F123" si="11">(D123-E123)</f>
        <v>18678.830000000002</v>
      </c>
      <c r="G123" s="374"/>
    </row>
    <row r="124" spans="1:11" x14ac:dyDescent="0.25">
      <c r="A124" s="374"/>
      <c r="B124" s="16" t="s">
        <v>124</v>
      </c>
      <c r="C124" s="2"/>
      <c r="D124" s="5">
        <f>'FY2020 January Account'!F124</f>
        <v>18678.830000000002</v>
      </c>
      <c r="E124" s="6">
        <f>SUM(E123:E123)</f>
        <v>0</v>
      </c>
      <c r="F124" s="21">
        <f>(D124-E124)</f>
        <v>18678.830000000002</v>
      </c>
      <c r="G124" s="374"/>
    </row>
    <row r="125" spans="1:11" x14ac:dyDescent="0.25">
      <c r="A125" s="374"/>
      <c r="B125" s="20"/>
      <c r="C125" s="3"/>
      <c r="D125" s="3"/>
      <c r="E125" s="3"/>
      <c r="F125" s="19"/>
      <c r="G125" s="374"/>
    </row>
    <row r="126" spans="1:11" x14ac:dyDescent="0.25">
      <c r="A126" s="374"/>
      <c r="B126" s="37" t="s">
        <v>125</v>
      </c>
      <c r="C126" s="41"/>
      <c r="D126" s="42">
        <f>'FY2020 January Account'!F126</f>
        <v>18678.830000000002</v>
      </c>
      <c r="E126" s="42">
        <f>SUM(E124)</f>
        <v>0</v>
      </c>
      <c r="F126" s="43">
        <f>(D126-E126)</f>
        <v>18678.830000000002</v>
      </c>
      <c r="G126" s="374"/>
    </row>
    <row r="127" spans="1:11" x14ac:dyDescent="0.25">
      <c r="A127" s="374"/>
      <c r="B127" s="23"/>
      <c r="C127" s="7"/>
      <c r="D127" s="7"/>
      <c r="E127" s="7"/>
      <c r="F127" s="24"/>
      <c r="G127" s="374"/>
    </row>
    <row r="128" spans="1:11" x14ac:dyDescent="0.25">
      <c r="A128" s="374"/>
      <c r="B128" s="23"/>
      <c r="C128" s="7"/>
      <c r="D128" s="7"/>
      <c r="E128" s="7"/>
      <c r="F128" s="24"/>
      <c r="G128" s="374"/>
      <c r="K128" s="93"/>
    </row>
    <row r="129" spans="1:7" ht="15.75" x14ac:dyDescent="0.25">
      <c r="A129" s="374"/>
      <c r="B129" s="25" t="s">
        <v>2460</v>
      </c>
      <c r="C129" s="8"/>
      <c r="D129" s="9"/>
      <c r="E129" s="10">
        <f>SUM(E34)</f>
        <v>80362.510000000009</v>
      </c>
      <c r="F129" s="26"/>
      <c r="G129" s="374"/>
    </row>
    <row r="130" spans="1:7" ht="15.75" x14ac:dyDescent="0.25">
      <c r="A130" s="374"/>
      <c r="B130" s="25" t="s">
        <v>2461</v>
      </c>
      <c r="C130" s="8"/>
      <c r="D130" s="9"/>
      <c r="E130" s="10">
        <f>SUM(E64, E79, E95, E118, E126)</f>
        <v>18378.7</v>
      </c>
      <c r="F130" s="26"/>
      <c r="G130" s="374"/>
    </row>
    <row r="131" spans="1:7" ht="16.5" thickBot="1" x14ac:dyDescent="0.3">
      <c r="A131" s="374"/>
      <c r="B131" s="27" t="s">
        <v>2462</v>
      </c>
      <c r="C131" s="28"/>
      <c r="D131" s="29"/>
      <c r="E131" s="30">
        <f>(E129-E130)</f>
        <v>61983.810000000012</v>
      </c>
      <c r="F131" s="31"/>
      <c r="G131" s="374"/>
    </row>
    <row r="132" spans="1:7" ht="15.75" thickBot="1" x14ac:dyDescent="0.3">
      <c r="A132" s="375" t="b">
        <f>IF(($E$129+$E$130)=(SUM('FY2020 February Transactions'!E:E)),TRUE,FALSE)</f>
        <v>1</v>
      </c>
      <c r="B132" s="376"/>
      <c r="C132" s="376"/>
      <c r="D132" s="376"/>
      <c r="E132" s="376"/>
      <c r="F132" s="376"/>
      <c r="G132" s="377"/>
    </row>
    <row r="133" spans="1:7" x14ac:dyDescent="0.25">
      <c r="F133" s="93"/>
    </row>
    <row r="134" spans="1:7" x14ac:dyDescent="0.25">
      <c r="C134" s="93"/>
    </row>
    <row r="135" spans="1:7" x14ac:dyDescent="0.25">
      <c r="E135" s="93"/>
    </row>
    <row r="138" spans="1:7" x14ac:dyDescent="0.25">
      <c r="E138" s="93"/>
    </row>
  </sheetData>
  <mergeCells count="7">
    <mergeCell ref="A132:G132"/>
    <mergeCell ref="A1:G1"/>
    <mergeCell ref="A2:A131"/>
    <mergeCell ref="B2:F3"/>
    <mergeCell ref="G2:G131"/>
    <mergeCell ref="B6:F6"/>
    <mergeCell ref="B36:F36"/>
  </mergeCells>
  <conditionalFormatting sqref="A1">
    <cfRule type="cellIs" dxfId="497" priority="8" operator="equal">
      <formula>TRUE</formula>
    </cfRule>
  </conditionalFormatting>
  <conditionalFormatting sqref="A1:A91 G2:G91 G93:G104 A93:A104 A106:A131 G106:G131">
    <cfRule type="cellIs" dxfId="496" priority="7" operator="equal">
      <formula>FALSE</formula>
    </cfRule>
  </conditionalFormatting>
  <conditionalFormatting sqref="A132:G132 G2:G91 A2:A91 A93:A104 G93:G104 G106:G131 A106:A131">
    <cfRule type="cellIs" dxfId="495" priority="6" operator="equal">
      <formula>TRUE</formula>
    </cfRule>
  </conditionalFormatting>
  <conditionalFormatting sqref="A132:G132">
    <cfRule type="cellIs" dxfId="494" priority="5" operator="equal">
      <formula>FALSE</formula>
    </cfRule>
  </conditionalFormatting>
  <conditionalFormatting sqref="A92 G92">
    <cfRule type="cellIs" dxfId="493" priority="4" operator="equal">
      <formula>FALSE</formula>
    </cfRule>
  </conditionalFormatting>
  <conditionalFormatting sqref="G92 A92">
    <cfRule type="cellIs" dxfId="492" priority="3" operator="equal">
      <formula>TRUE</formula>
    </cfRule>
  </conditionalFormatting>
  <conditionalFormatting sqref="A105 G105">
    <cfRule type="cellIs" dxfId="491" priority="2" operator="equal">
      <formula>FALSE</formula>
    </cfRule>
  </conditionalFormatting>
  <conditionalFormatting sqref="G105 A105">
    <cfRule type="cellIs" dxfId="490" priority="1" operator="equal">
      <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63</vt:i4>
      </vt:variant>
    </vt:vector>
  </HeadingPairs>
  <TitlesOfParts>
    <vt:vector size="63" baseType="lpstr">
      <vt:lpstr>FY2020 Executive Summary</vt:lpstr>
      <vt:lpstr>FY2020 Cash Flow</vt:lpstr>
      <vt:lpstr>FY2020 Monthly Overview</vt:lpstr>
      <vt:lpstr>FY2020 Monthly Detail</vt:lpstr>
      <vt:lpstr>FY2020 April Account</vt:lpstr>
      <vt:lpstr>FY2020 April Transactions</vt:lpstr>
      <vt:lpstr>FY2020 March Account</vt:lpstr>
      <vt:lpstr>FY2020 March Transactions</vt:lpstr>
      <vt:lpstr>FY2020 February Account</vt:lpstr>
      <vt:lpstr>FY2020 February Transactions</vt:lpstr>
      <vt:lpstr>FY2020 January Account</vt:lpstr>
      <vt:lpstr>FY2020 January Transactions</vt:lpstr>
      <vt:lpstr>FY2020 December Account</vt:lpstr>
      <vt:lpstr>FY2020 December Transactions</vt:lpstr>
      <vt:lpstr>FY2020 November Account</vt:lpstr>
      <vt:lpstr>FY2020 November Transactions</vt:lpstr>
      <vt:lpstr>FY2020 October Account</vt:lpstr>
      <vt:lpstr>FY2020 October Transactions</vt:lpstr>
      <vt:lpstr>FY2020 September Account</vt:lpstr>
      <vt:lpstr>FY2020 September Transactions</vt:lpstr>
      <vt:lpstr>FY2020 August Account</vt:lpstr>
      <vt:lpstr>FY2020 August Transactions</vt:lpstr>
      <vt:lpstr>FY2020 July Account</vt:lpstr>
      <vt:lpstr>FY2020 July Transactions</vt:lpstr>
      <vt:lpstr>FY2020 Operating Budget</vt:lpstr>
      <vt:lpstr>FY2019 June Transactions</vt:lpstr>
      <vt:lpstr>FY2019 May Transactions</vt:lpstr>
      <vt:lpstr>FY2019 April Transactions</vt:lpstr>
      <vt:lpstr>FY2019 March Transactions</vt:lpstr>
      <vt:lpstr>FY2019 February Transactions</vt:lpstr>
      <vt:lpstr>FY2019 January Transactions</vt:lpstr>
      <vt:lpstr>FY2019 December Transactions</vt:lpstr>
      <vt:lpstr>FY2019 November Transactions</vt:lpstr>
      <vt:lpstr>FY2019 October Transactions</vt:lpstr>
      <vt:lpstr>FY2019 September Transactions</vt:lpstr>
      <vt:lpstr>FY2019 August Transactions</vt:lpstr>
      <vt:lpstr>FY2019 July Account</vt:lpstr>
      <vt:lpstr>FY2019 July Transactions</vt:lpstr>
      <vt:lpstr>FY2019 Approved Budget</vt:lpstr>
      <vt:lpstr>FY2018 June Transactions</vt:lpstr>
      <vt:lpstr>FY2018 May Transactions</vt:lpstr>
      <vt:lpstr>FY2018 April Transactions</vt:lpstr>
      <vt:lpstr>FY2018 March Transactions</vt:lpstr>
      <vt:lpstr>FY2018 February Transactions</vt:lpstr>
      <vt:lpstr>FY2018 January Transactions</vt:lpstr>
      <vt:lpstr>FY2018 December Transactions</vt:lpstr>
      <vt:lpstr>FY2018 November Transactions</vt:lpstr>
      <vt:lpstr>FY2018 October Transactions</vt:lpstr>
      <vt:lpstr>FY2018 September Transactions</vt:lpstr>
      <vt:lpstr>FY2018 August Transactions</vt:lpstr>
      <vt:lpstr>FY2018 July Transactions</vt:lpstr>
      <vt:lpstr>FY2017 June Transactions</vt:lpstr>
      <vt:lpstr>FY2017 May Transactions</vt:lpstr>
      <vt:lpstr>FY2017 April Transactions</vt:lpstr>
      <vt:lpstr>FY2017 March Transactions</vt:lpstr>
      <vt:lpstr>FY2017 February Transactions</vt:lpstr>
      <vt:lpstr>FY2017 January Transactions</vt:lpstr>
      <vt:lpstr>FY2017 December Transactions</vt:lpstr>
      <vt:lpstr>FY2017 November Transactions</vt:lpstr>
      <vt:lpstr>FY2017 October Transactions</vt:lpstr>
      <vt:lpstr>FY2017 September Transactions</vt:lpstr>
      <vt:lpstr>FY2017 August Transactions</vt:lpstr>
      <vt:lpstr>FY2017 July Transactions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N</dc:creator>
  <cp:lastModifiedBy>Jacob N</cp:lastModifiedBy>
  <dcterms:created xsi:type="dcterms:W3CDTF">2019-08-25T23:00:24Z</dcterms:created>
  <dcterms:modified xsi:type="dcterms:W3CDTF">2020-04-17T21:33:57Z</dcterms:modified>
</cp:coreProperties>
</file>